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C3354E6-97CD-4FA0-BF52-A5D797CAF3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I21" i="1" s="1"/>
  <c r="E22" i="1"/>
  <c r="F22" i="1" s="1"/>
  <c r="G22" i="1" s="1"/>
  <c r="I22" i="1" s="1"/>
  <c r="E23" i="1"/>
  <c r="F23" i="1" s="1"/>
  <c r="G23" i="1" s="1"/>
  <c r="I23" i="1" s="1"/>
  <c r="E25" i="1"/>
  <c r="E14" i="2" s="1"/>
  <c r="E26" i="1"/>
  <c r="F26" i="1" s="1"/>
  <c r="G26" i="1" s="1"/>
  <c r="I26" i="1" s="1"/>
  <c r="E24" i="1"/>
  <c r="F24" i="1" s="1"/>
  <c r="G24" i="1" s="1"/>
  <c r="I24" i="1" s="1"/>
  <c r="Q21" i="1"/>
  <c r="Q22" i="1"/>
  <c r="Q23" i="1"/>
  <c r="Q25" i="1"/>
  <c r="Q26" i="1"/>
  <c r="G15" i="2"/>
  <c r="C15" i="2"/>
  <c r="E15" i="2"/>
  <c r="G14" i="2"/>
  <c r="C14" i="2"/>
  <c r="G13" i="2"/>
  <c r="C13" i="2"/>
  <c r="G12" i="2"/>
  <c r="C12" i="2"/>
  <c r="E12" i="2"/>
  <c r="G11" i="2"/>
  <c r="C11" i="2"/>
  <c r="E11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A24" i="1"/>
  <c r="F14" i="1"/>
  <c r="F15" i="1" s="1"/>
  <c r="C17" i="1"/>
  <c r="Q24" i="1"/>
  <c r="E13" i="2" l="1"/>
  <c r="F25" i="1"/>
  <c r="G25" i="1" s="1"/>
  <c r="C11" i="1"/>
  <c r="C12" i="1"/>
  <c r="O26" i="1" l="1"/>
  <c r="C15" i="1"/>
  <c r="O25" i="1"/>
  <c r="O22" i="1"/>
  <c r="O23" i="1"/>
  <c r="O21" i="1"/>
  <c r="O24" i="1"/>
  <c r="C16" i="1"/>
  <c r="D18" i="1" s="1"/>
  <c r="I25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<sst xmlns="http://schemas.openxmlformats.org/spreadsheetml/2006/main" count="120" uniqueCount="86">
  <si>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</si>
  <si>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</si>
  <si>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</si>
  <si>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</si>
  <si>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</si>
  <si>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</si>
  <si>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</si>
  <si>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</si>
  <si>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</si>
  <si>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</si>
  <si>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</si>
  <si>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</si>
  <si>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</si>
  <si>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</si>
  <si>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</si>
  <si>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</si>
  <si>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</si>
  <si>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</si>
  <si>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</si>
  <si>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</si>
  <si>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</si>
  <si>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</si>
  <si>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</si>
  <si>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</si>
  <si>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</si>
  <si>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</si>
  <si>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</si>
  <si>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</si>
  <si>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</si>
  <si>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</si>
  <si>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</si>
  <si>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</si>
  <si>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</si>
  <si>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</si>
  <si>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</si>
  <si>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</si>
  <si>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</si>
  <si>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</si>
  <si>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</si>
  <si>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</si>
  <si>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</si>
  <si>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</si>
  <si>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</si>
  <si>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</si>
  <si>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</si>
  <si>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</si>
  <si>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</si>
  <si>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F </t>
  </si>
  <si>
    <t>VV Cep</t>
  </si>
  <si>
    <t>EA</t>
  </si>
  <si>
    <t>VV Cep / GSC 43360</t>
  </si>
  <si>
    <t>F21</t>
  </si>
  <si>
    <t>G21</t>
  </si>
  <si>
    <t>2428500 </t>
  </si>
  <si>
    <t> 27.11.1936 12:00 </t>
  </si>
  <si>
    <t> -0 </t>
  </si>
  <si>
    <t> S.Gaposchkin </t>
  </si>
  <si>
    <t> HA 113.77 </t>
  </si>
  <si>
    <t>2435931 </t>
  </si>
  <si>
    <t> 02.04.1957 12:00 </t>
  </si>
  <si>
    <t>  1 </t>
  </si>
  <si>
    <t>E </t>
  </si>
  <si>
    <t>?</t>
  </si>
  <si>
    <t> G.Larsson-Leander </t>
  </si>
  <si>
    <t> ARKA 2.31 </t>
  </si>
  <si>
    <t>2443357 </t>
  </si>
  <si>
    <t> 01.08.1977 12:00 </t>
  </si>
  <si>
    <t> -3 </t>
  </si>
  <si>
    <t> J.Tibor et al. </t>
  </si>
  <si>
    <t> ALGL 23 </t>
  </si>
  <si>
    <t>2443361 </t>
  </si>
  <si>
    <t> 05.08.1977 12:00 </t>
  </si>
  <si>
    <t> Huang Yongwei </t>
  </si>
  <si>
    <t> AAS 7.120 </t>
  </si>
  <si>
    <t>2450855 </t>
  </si>
  <si>
    <t> 10.02.1998 12:00 </t>
  </si>
  <si>
    <t> 65 </t>
  </si>
  <si>
    <t> D.Graczyk et al. </t>
  </si>
  <si>
    <t>IBVS 4679 </t>
  </si>
  <si>
    <t>I</t>
  </si>
  <si>
    <t>VSX</t>
  </si>
  <si>
    <t>Next ToM-P</t>
  </si>
  <si>
    <t>Next ToM-S</t>
  </si>
  <si>
    <t>4.88-5.40</t>
  </si>
  <si>
    <t xml:space="preserve">Mag </t>
  </si>
  <si>
    <t>EA/GS+SRC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</si>
</sst>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2" applyNumberFormat="0" applyFont="0" applyFill="0" applyAlignment="0" applyProtection="0"/>
  </cellStyleXfs>
  <cellXfs count="5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9" fillId="3" borderId="12" xfId="7" applyFill="1" applyBorder="1" applyAlignment="1" applyProtection="1">
      <alignment horizontal="right" vertical="top" wrapText="1"/>
    </xf>
    <xf numFmtId="0" fontId="15" fillId="4" borderId="1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16" fillId="0" borderId="0" xfId="0" applyFont="1" applyAlignment="1"/>
    <xf numFmtId="0" fontId="16" fillId="5" borderId="13" xfId="0" applyFont="1" applyFill="1" applyBorder="1" applyAlignment="1">
      <alignment horizontal="right" vertical="center"/>
    </xf>
    <xf numFmtId="0" fontId="16" fillId="5" borderId="14" xfId="0" applyFont="1" applyFill="1" applyBorder="1" applyAlignment="1">
      <alignment horizontal="center" vertical="center"/>
    </xf>
    <xf numFmtId="0" fontId="21" fillId="0" borderId="15" xfId="0" applyFont="1" applyBorder="1" applyAlignment="1">
      <alignment horizontal="right" vertical="top"/>
    </xf>
    <xf numFmtId="0" fontId="12" fillId="0" borderId="16" xfId="0" applyFont="1" applyBorder="1" applyAlignment="1">
      <alignment horizontal="center" vertical="top"/>
    </xf>
    <xf numFmtId="0" fontId="9" fillId="0" borderId="16" xfId="0" applyFont="1" applyBorder="1" applyAlignment="1">
      <alignment horizontal="right" vertical="top"/>
    </xf>
    <xf numFmtId="0" fontId="8" fillId="0" borderId="16" xfId="0" applyFont="1" applyBorder="1" applyAlignment="1">
      <alignment horizontal="right"/>
    </xf>
    <xf numFmtId="22" fontId="8" fillId="0" borderId="16" xfId="0" applyNumberFormat="1" applyFont="1" applyBorder="1" applyAlignment="1">
      <alignment horizontal="right" vertical="top"/>
    </xf>
    <xf numFmtId="22" fontId="22" fillId="0" borderId="17" xfId="0" applyNumberFormat="1" applyFont="1" applyBorder="1" applyAlignment="1">
      <alignment horizontal="right"/>
    </xf>
    <xf numFmtId="0" fontId="21" fillId="0" borderId="18" xfId="0" applyFont="1" applyBorder="1" applyAlignment="1">
      <alignment horizontal="right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VV Cep - O-C Diagr.</a:t>
            </a:r>
          </a:p>
        </c:rich>
      </c:tx>
      <c:layout>
        <c:manualLayout>
          <c:xMode val="edge"/>
          <c:yMode val="edge"/>
          <c:x val="0.38496240601503762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63249605675775"/>
          <c:y val="0.1361364943325985"/>
          <c:w val="0.85477347398083559"/>
          <c:h val="0.6385571835007238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C7-4B00-92BB-030F57B8141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136</c:v>
                </c:pt>
                <c:pt idx="1">
                  <c:v>69</c:v>
                </c:pt>
                <c:pt idx="2">
                  <c:v>-3</c:v>
                </c:pt>
                <c:pt idx="3">
                  <c:v>0</c:v>
                </c:pt>
                <c:pt idx="4">
                  <c:v>1</c:v>
                </c:pt>
                <c:pt idx="5">
                  <c:v>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C7-4B00-92BB-030F57B8141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3C7-4B00-92BB-030F57B8141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3C7-4B00-92BB-030F57B8141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3C7-4B00-92BB-030F57B8141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3C7-4B00-92BB-030F57B8141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3C7-4B00-92BB-030F57B8141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120</c:v>
                </c:pt>
                <c:pt idx="1">
                  <c:v>68</c:v>
                </c:pt>
                <c:pt idx="2">
                  <c:v>16.000000000000014</c:v>
                </c:pt>
                <c:pt idx="3">
                  <c:v>16.000000000000014</c:v>
                </c:pt>
                <c:pt idx="4">
                  <c:v>16.000000000000014</c:v>
                </c:pt>
                <c:pt idx="5">
                  <c:v>-35.999999999999979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3C7-4B00-92BB-030F57B8141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3C7-4B00-92BB-030F57B81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0934680"/>
        <c:axId val="1"/>
      </c:scatterChart>
      <c:valAx>
        <c:axId val="5009346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36422345354978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67284922717993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09346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1975600272188196"/>
          <c:w val="0.7142857142857143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19</xdr:col>
      <xdr:colOff>514350</xdr:colOff>
      <xdr:row>18</xdr:row>
      <xdr:rowOff>85724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DADFD80-11EE-DFAA-AD71-F83E67D82B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konkoly.hu/cgi-bin/IBVS?4679" TargetMode="External"/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710937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50</v>
      </c>
      <c r="F1" s="46" t="s">
        <v>48</v>
      </c>
      <c r="G1" s="30">
        <v>21.56391</v>
      </c>
      <c r="H1" s="31">
        <v>63.373199999999997</v>
      </c>
      <c r="I1" s="32">
        <v>43360</v>
      </c>
      <c r="J1" s="32">
        <v>430</v>
      </c>
      <c r="K1" s="29" t="s">
        <v>49</v>
      </c>
      <c r="L1" s="31"/>
      <c r="M1" s="32">
        <v>43360</v>
      </c>
      <c r="N1" s="32">
        <v>430</v>
      </c>
      <c r="O1" s="31" t="s">
        <v>49</v>
      </c>
    </row>
    <row r="2" spans="1:15" x14ac:dyDescent="0.2">
      <c r="A2" t="s">
        <v>23</v>
      </c>
      <c r="B2" s="48" t="s">
        <v>85</v>
      </c>
      <c r="C2" s="28"/>
    </row>
    <row r="3" spans="1:15" ht="13.5" thickBot="1" x14ac:dyDescent="0.25"/>
    <row r="4" spans="1:15" ht="14.25" thickTop="1" thickBot="1" x14ac:dyDescent="0.25">
      <c r="A4" s="5" t="s">
        <v>0</v>
      </c>
      <c r="C4" s="25">
        <v>43360</v>
      </c>
      <c r="D4" s="26">
        <v>7430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7">
        <v>50858</v>
      </c>
      <c r="D7" s="27" t="s">
        <v>80</v>
      </c>
    </row>
    <row r="8" spans="1:15" x14ac:dyDescent="0.2">
      <c r="A8" t="s">
        <v>3</v>
      </c>
      <c r="C8" s="47">
        <v>7498</v>
      </c>
      <c r="D8" s="27" t="s">
        <v>80</v>
      </c>
    </row>
    <row r="9" spans="1:15" x14ac:dyDescent="0.2">
      <c r="A9" s="22" t="s">
        <v>31</v>
      </c>
      <c r="C9" s="23">
        <v>21</v>
      </c>
      <c r="D9" s="20" t="s">
        <v>51</v>
      </c>
      <c r="E9" s="21" t="s">
        <v>52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19">
        <f ca="1">INTERCEPT(INDIRECT($E$9):G992,INDIRECT($D$9):F992)</f>
        <v>-35.999999999999979</v>
      </c>
      <c r="D11" s="3"/>
      <c r="E11" s="10"/>
    </row>
    <row r="12" spans="1:15" x14ac:dyDescent="0.2">
      <c r="A12" s="10" t="s">
        <v>16</v>
      </c>
      <c r="B12" s="10"/>
      <c r="C12" s="19">
        <f ca="1">SLOPE(INDIRECT($E$9):G992,INDIRECT($D$9):F992)</f>
        <v>-51.999999999999993</v>
      </c>
      <c r="D12" s="3"/>
      <c r="E12" s="49" t="s">
        <v>84</v>
      </c>
      <c r="F12" s="50" t="s">
        <v>83</v>
      </c>
    </row>
    <row r="13" spans="1:15" x14ac:dyDescent="0.2">
      <c r="A13" s="10" t="s">
        <v>18</v>
      </c>
      <c r="B13" s="10"/>
      <c r="C13" s="3" t="s">
        <v>13</v>
      </c>
      <c r="E13" s="51" t="s">
        <v>33</v>
      </c>
      <c r="F13" s="52">
        <v>1</v>
      </c>
    </row>
    <row r="14" spans="1:15" x14ac:dyDescent="0.2">
      <c r="A14" s="10"/>
      <c r="B14" s="10"/>
      <c r="C14" s="10"/>
      <c r="E14" s="51" t="s">
        <v>30</v>
      </c>
      <c r="F14" s="53">
        <f ca="1">NOW()+15018.5+$C$5/24</f>
        <v>60519.822315624995</v>
      </c>
    </row>
    <row r="15" spans="1:15" x14ac:dyDescent="0.2">
      <c r="A15" s="12" t="s">
        <v>17</v>
      </c>
      <c r="B15" s="10"/>
      <c r="C15" s="13">
        <f ca="1">(C7+C11)+(C8+C12)*INT(MAX(F21:F3533))</f>
        <v>50822</v>
      </c>
      <c r="E15" s="51" t="s">
        <v>34</v>
      </c>
      <c r="F15" s="53">
        <f ca="1">ROUND(2*(F14-$C$7)/$C$8,0)/2+F13</f>
        <v>2.5</v>
      </c>
    </row>
    <row r="16" spans="1:15" x14ac:dyDescent="0.2">
      <c r="A16" s="15" t="s">
        <v>4</v>
      </c>
      <c r="B16" s="10"/>
      <c r="C16" s="16">
        <f ca="1">+C8+C12</f>
        <v>7446</v>
      </c>
      <c r="E16" s="51" t="s">
        <v>35</v>
      </c>
      <c r="F16" s="54">
        <f ca="1">ROUND(2*(F14-$C$15)/$C$16,0)/2+F13</f>
        <v>2.5</v>
      </c>
    </row>
    <row r="17" spans="1:18" ht="13.5" thickBot="1" x14ac:dyDescent="0.25">
      <c r="A17" s="14" t="s">
        <v>27</v>
      </c>
      <c r="B17" s="10"/>
      <c r="C17" s="10">
        <f>COUNT(C21:C2191)</f>
        <v>6</v>
      </c>
      <c r="E17" s="51" t="s">
        <v>81</v>
      </c>
      <c r="F17" s="55">
        <f ca="1">+$C$15+$C$16*$F$16-15018.5-$C$5/24</f>
        <v>54418.895833333336</v>
      </c>
    </row>
    <row r="18" spans="1:18" ht="14.25" thickTop="1" thickBot="1" x14ac:dyDescent="0.25">
      <c r="A18" s="15" t="s">
        <v>5</v>
      </c>
      <c r="B18" s="10"/>
      <c r="C18" s="17">
        <f ca="1">+C15</f>
        <v>50822</v>
      </c>
      <c r="D18" s="18">
        <f ca="1">+C16</f>
        <v>7446</v>
      </c>
      <c r="E18" s="57" t="s">
        <v>82</v>
      </c>
      <c r="F18" s="56">
        <f ca="1">+($C$15+$C$16*$F$16)-($C$16/2)-15018.5-$C$5/24</f>
        <v>50695.895833333336</v>
      </c>
    </row>
    <row r="19" spans="1:18" ht="13.5" thickTop="1" x14ac:dyDescent="0.2"/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36</v>
      </c>
      <c r="I20" s="7" t="s">
        <v>37</v>
      </c>
      <c r="J20" s="7" t="s">
        <v>38</v>
      </c>
      <c r="K20" s="7" t="s">
        <v>39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4" t="s">
        <v>32</v>
      </c>
    </row>
    <row r="21" spans="1:18" x14ac:dyDescent="0.2">
      <c r="A21" t="s">
        <v>57</v>
      </c>
      <c r="B21" t="s">
        <v>79</v>
      </c>
      <c r="C21" s="8">
        <v>28500</v>
      </c>
      <c r="D21" s="8" t="s">
        <v>37</v>
      </c>
      <c r="E21">
        <f t="shared" ref="E21:E26" si="0">+(C21-C$7)/C$8</f>
        <v>-2.9818618298212858</v>
      </c>
      <c r="F21">
        <f t="shared" ref="F21:F26" si="1">ROUND(2*E21,0)/2</f>
        <v>-3</v>
      </c>
      <c r="G21">
        <f t="shared" ref="G21:G26" si="2">+C21-(C$7+F21*C$8)</f>
        <v>136</v>
      </c>
      <c r="I21">
        <f t="shared" ref="I21:I26" si="3">+G21</f>
        <v>136</v>
      </c>
      <c r="O21">
        <f t="shared" ref="O21:O26" ca="1" si="4">+C$11+C$12*$F21</f>
        <v>120</v>
      </c>
      <c r="Q21" s="2">
        <f t="shared" ref="Q21:Q26" si="5">+C21-15018.5</f>
        <v>13481.5</v>
      </c>
    </row>
    <row r="22" spans="1:18" x14ac:dyDescent="0.2">
      <c r="A22" t="s">
        <v>64</v>
      </c>
      <c r="B22" t="s">
        <v>79</v>
      </c>
      <c r="C22" s="8">
        <v>35931</v>
      </c>
      <c r="D22" s="8" t="s">
        <v>37</v>
      </c>
      <c r="E22">
        <f t="shared" si="0"/>
        <v>-1.99079754601227</v>
      </c>
      <c r="F22">
        <f t="shared" si="1"/>
        <v>-2</v>
      </c>
      <c r="G22">
        <f t="shared" si="2"/>
        <v>69</v>
      </c>
      <c r="I22">
        <f t="shared" si="3"/>
        <v>69</v>
      </c>
      <c r="O22">
        <f t="shared" ca="1" si="4"/>
        <v>68</v>
      </c>
      <c r="Q22" s="2">
        <f t="shared" si="5"/>
        <v>20912.5</v>
      </c>
    </row>
    <row r="23" spans="1:18" x14ac:dyDescent="0.2">
      <c r="A23" t="s">
        <v>69</v>
      </c>
      <c r="B23" t="s">
        <v>79</v>
      </c>
      <c r="C23" s="8">
        <v>43357</v>
      </c>
      <c r="D23" s="8" t="s">
        <v>37</v>
      </c>
      <c r="E23">
        <f t="shared" si="0"/>
        <v>-1.0004001066951187</v>
      </c>
      <c r="F23">
        <f t="shared" si="1"/>
        <v>-1</v>
      </c>
      <c r="G23">
        <f t="shared" si="2"/>
        <v>-3</v>
      </c>
      <c r="I23">
        <f t="shared" si="3"/>
        <v>-3</v>
      </c>
      <c r="O23">
        <f t="shared" ca="1" si="4"/>
        <v>16.000000000000014</v>
      </c>
      <c r="Q23" s="2">
        <f t="shared" si="5"/>
        <v>28338.5</v>
      </c>
    </row>
    <row r="24" spans="1:18" x14ac:dyDescent="0.2">
      <c r="A24" t="str">
        <f>D10</f>
        <v>Quadratic</v>
      </c>
      <c r="C24" s="8">
        <v>43360</v>
      </c>
      <c r="D24" s="8" t="s">
        <v>13</v>
      </c>
      <c r="E24">
        <f t="shared" si="0"/>
        <v>-1</v>
      </c>
      <c r="F24">
        <f t="shared" si="1"/>
        <v>-1</v>
      </c>
      <c r="G24">
        <f t="shared" si="2"/>
        <v>0</v>
      </c>
      <c r="I24">
        <f t="shared" si="3"/>
        <v>0</v>
      </c>
      <c r="O24">
        <f t="shared" ca="1" si="4"/>
        <v>16.000000000000014</v>
      </c>
      <c r="Q24" s="2">
        <f t="shared" si="5"/>
        <v>28341.5</v>
      </c>
    </row>
    <row r="25" spans="1:18" x14ac:dyDescent="0.2">
      <c r="A25" t="s">
        <v>73</v>
      </c>
      <c r="B25" t="s">
        <v>79</v>
      </c>
      <c r="C25" s="8">
        <v>43361</v>
      </c>
      <c r="D25" s="8" t="s">
        <v>37</v>
      </c>
      <c r="E25">
        <f t="shared" si="0"/>
        <v>-0.9998666311016271</v>
      </c>
      <c r="F25">
        <f t="shared" si="1"/>
        <v>-1</v>
      </c>
      <c r="G25">
        <f t="shared" si="2"/>
        <v>1</v>
      </c>
      <c r="I25">
        <f t="shared" si="3"/>
        <v>1</v>
      </c>
      <c r="O25">
        <f t="shared" ca="1" si="4"/>
        <v>16.000000000000014</v>
      </c>
      <c r="Q25" s="2">
        <f t="shared" si="5"/>
        <v>28342.5</v>
      </c>
    </row>
    <row r="26" spans="1:18" x14ac:dyDescent="0.2">
      <c r="A26" t="s">
        <v>78</v>
      </c>
      <c r="B26" t="s">
        <v>79</v>
      </c>
      <c r="C26" s="8">
        <v>50855</v>
      </c>
      <c r="D26" s="8" t="s">
        <v>37</v>
      </c>
      <c r="E26">
        <f t="shared" si="0"/>
        <v>-4.0010669511869834E-4</v>
      </c>
      <c r="F26">
        <f t="shared" si="1"/>
        <v>0</v>
      </c>
      <c r="G26">
        <f t="shared" si="2"/>
        <v>-3</v>
      </c>
      <c r="I26">
        <f t="shared" si="3"/>
        <v>-3</v>
      </c>
      <c r="O26">
        <f t="shared" ca="1" si="4"/>
        <v>-35.999999999999979</v>
      </c>
      <c r="Q26" s="2">
        <f t="shared" si="5"/>
        <v>35836.5</v>
      </c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R36">
    <sortCondition ref="C21:C36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61"/>
  <sheetViews>
    <sheetView workbookViewId="0">
      <selection activeCell="A11" sqref="A11:D15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3" t="s">
        <v>40</v>
      </c>
      <c r="I1" s="34" t="s">
        <v>41</v>
      </c>
      <c r="J1" s="35" t="s">
        <v>39</v>
      </c>
    </row>
    <row r="2" spans="1:16" x14ac:dyDescent="0.2">
      <c r="I2" s="36" t="s">
        <v>42</v>
      </c>
      <c r="J2" s="37" t="s">
        <v>38</v>
      </c>
    </row>
    <row r="3" spans="1:16" x14ac:dyDescent="0.2">
      <c r="A3" s="38" t="s">
        <v>43</v>
      </c>
      <c r="I3" s="36" t="s">
        <v>44</v>
      </c>
      <c r="J3" s="37" t="s">
        <v>36</v>
      </c>
    </row>
    <row r="4" spans="1:16" x14ac:dyDescent="0.2">
      <c r="I4" s="36" t="s">
        <v>45</v>
      </c>
      <c r="J4" s="37" t="s">
        <v>36</v>
      </c>
    </row>
    <row r="5" spans="1:16" ht="13.5" thickBot="1" x14ac:dyDescent="0.25">
      <c r="I5" s="39" t="s">
        <v>46</v>
      </c>
      <c r="J5" s="40" t="s">
        <v>37</v>
      </c>
    </row>
    <row r="10" spans="1:16" ht="13.5" thickBot="1" x14ac:dyDescent="0.25"/>
    <row r="11" spans="1:16" ht="12.75" customHeight="1" thickBot="1" x14ac:dyDescent="0.25">
      <c r="A11" s="8" t="str">
        <f>P11</f>
        <v> HA 113.77 </v>
      </c>
      <c r="B11" s="3" t="str">
        <f>IF(H11=INT(H11),"I","II")</f>
        <v>I</v>
      </c>
      <c r="C11" s="8">
        <f>1*G11</f>
        <v>28500</v>
      </c>
      <c r="D11" s="10" t="str">
        <f>VLOOKUP(F11,I$1:J$5,2,FALSE)</f>
        <v>vis</v>
      </c>
      <c r="E11" s="41">
        <f>VLOOKUP(C11,Active!C$21:E$973,3,FALSE)</f>
        <v>-2.9818618298212858</v>
      </c>
      <c r="F11" s="3" t="s">
        <v>46</v>
      </c>
      <c r="G11" s="10" t="str">
        <f>MID(I11,3,LEN(I11)-3)</f>
        <v>28500</v>
      </c>
      <c r="H11" s="8">
        <f>1*K11</f>
        <v>-2</v>
      </c>
      <c r="I11" s="42" t="s">
        <v>53</v>
      </c>
      <c r="J11" s="43" t="s">
        <v>54</v>
      </c>
      <c r="K11" s="42">
        <v>-2</v>
      </c>
      <c r="L11" s="42" t="s">
        <v>55</v>
      </c>
      <c r="M11" s="43" t="s">
        <v>47</v>
      </c>
      <c r="N11" s="43"/>
      <c r="O11" s="44" t="s">
        <v>56</v>
      </c>
      <c r="P11" s="44" t="s">
        <v>57</v>
      </c>
    </row>
    <row r="12" spans="1:16" ht="12.75" customHeight="1" thickBot="1" x14ac:dyDescent="0.25">
      <c r="A12" s="8" t="str">
        <f>P12</f>
        <v> ARKA 2.31 </v>
      </c>
      <c r="B12" s="3" t="str">
        <f>IF(H12=INT(H12),"I","II")</f>
        <v>I</v>
      </c>
      <c r="C12" s="8">
        <f>1*G12</f>
        <v>35931</v>
      </c>
      <c r="D12" s="10" t="str">
        <f>VLOOKUP(F12,I$1:J$5,2,FALSE)</f>
        <v>vis</v>
      </c>
      <c r="E12" s="41">
        <f>VLOOKUP(C12,Active!C$21:E$973,3,FALSE)</f>
        <v>-1.99079754601227</v>
      </c>
      <c r="F12" s="3" t="s">
        <v>46</v>
      </c>
      <c r="G12" s="10" t="str">
        <f>MID(I12,3,LEN(I12)-3)</f>
        <v>35931</v>
      </c>
      <c r="H12" s="8">
        <f>1*K12</f>
        <v>-1</v>
      </c>
      <c r="I12" s="42" t="s">
        <v>58</v>
      </c>
      <c r="J12" s="43" t="s">
        <v>59</v>
      </c>
      <c r="K12" s="42">
        <v>-1</v>
      </c>
      <c r="L12" s="42" t="s">
        <v>60</v>
      </c>
      <c r="M12" s="43" t="s">
        <v>61</v>
      </c>
      <c r="N12" s="43" t="s">
        <v>62</v>
      </c>
      <c r="O12" s="44" t="s">
        <v>63</v>
      </c>
      <c r="P12" s="44" t="s">
        <v>64</v>
      </c>
    </row>
    <row r="13" spans="1:16" ht="12.75" customHeight="1" thickBot="1" x14ac:dyDescent="0.25">
      <c r="A13" s="8" t="str">
        <f>P13</f>
        <v> ALGL 23 </v>
      </c>
      <c r="B13" s="3" t="str">
        <f>IF(H13=INT(H13),"I","II")</f>
        <v>I</v>
      </c>
      <c r="C13" s="8">
        <f>1*G13</f>
        <v>43357</v>
      </c>
      <c r="D13" s="10" t="str">
        <f>VLOOKUP(F13,I$1:J$5,2,FALSE)</f>
        <v>vis</v>
      </c>
      <c r="E13" s="41">
        <f>VLOOKUP(C13,Active!C$21:E$973,3,FALSE)</f>
        <v>-1.0004001066951187</v>
      </c>
      <c r="F13" s="3" t="s">
        <v>46</v>
      </c>
      <c r="G13" s="10" t="str">
        <f>MID(I13,3,LEN(I13)-3)</f>
        <v>43357</v>
      </c>
      <c r="H13" s="8">
        <f>1*K13</f>
        <v>0</v>
      </c>
      <c r="I13" s="42" t="s">
        <v>65</v>
      </c>
      <c r="J13" s="43" t="s">
        <v>66</v>
      </c>
      <c r="K13" s="42">
        <v>0</v>
      </c>
      <c r="L13" s="42" t="s">
        <v>67</v>
      </c>
      <c r="M13" s="43" t="s">
        <v>61</v>
      </c>
      <c r="N13" s="43" t="s">
        <v>62</v>
      </c>
      <c r="O13" s="44" t="s">
        <v>68</v>
      </c>
      <c r="P13" s="44" t="s">
        <v>69</v>
      </c>
    </row>
    <row r="14" spans="1:16" ht="12.75" customHeight="1" thickBot="1" x14ac:dyDescent="0.25">
      <c r="A14" s="8" t="str">
        <f>P14</f>
        <v> AAS 7.120 </v>
      </c>
      <c r="B14" s="3" t="str">
        <f>IF(H14=INT(H14),"I","II")</f>
        <v>I</v>
      </c>
      <c r="C14" s="8">
        <f>1*G14</f>
        <v>43361</v>
      </c>
      <c r="D14" s="10" t="str">
        <f>VLOOKUP(F14,I$1:J$5,2,FALSE)</f>
        <v>vis</v>
      </c>
      <c r="E14" s="41">
        <f>VLOOKUP(C14,Active!C$21:E$973,3,FALSE)</f>
        <v>-0.9998666311016271</v>
      </c>
      <c r="F14" s="3" t="s">
        <v>46</v>
      </c>
      <c r="G14" s="10" t="str">
        <f>MID(I14,3,LEN(I14)-3)</f>
        <v>43361</v>
      </c>
      <c r="H14" s="8">
        <f>1*K14</f>
        <v>0</v>
      </c>
      <c r="I14" s="42" t="s">
        <v>70</v>
      </c>
      <c r="J14" s="43" t="s">
        <v>71</v>
      </c>
      <c r="K14" s="42">
        <v>0</v>
      </c>
      <c r="L14" s="42" t="s">
        <v>60</v>
      </c>
      <c r="M14" s="43" t="s">
        <v>61</v>
      </c>
      <c r="N14" s="43" t="s">
        <v>62</v>
      </c>
      <c r="O14" s="44" t="s">
        <v>72</v>
      </c>
      <c r="P14" s="44" t="s">
        <v>73</v>
      </c>
    </row>
    <row r="15" spans="1:16" ht="12.75" customHeight="1" thickBot="1" x14ac:dyDescent="0.25">
      <c r="A15" s="8" t="str">
        <f>P15</f>
        <v>IBVS 4679 </v>
      </c>
      <c r="B15" s="3" t="str">
        <f>IF(H15=INT(H15),"I","II")</f>
        <v>I</v>
      </c>
      <c r="C15" s="8">
        <f>1*G15</f>
        <v>50855</v>
      </c>
      <c r="D15" s="10" t="str">
        <f>VLOOKUP(F15,I$1:J$5,2,FALSE)</f>
        <v>vis</v>
      </c>
      <c r="E15" s="41">
        <f>VLOOKUP(C15,Active!C$21:E$973,3,FALSE)</f>
        <v>-4.0010669511869834E-4</v>
      </c>
      <c r="F15" s="3" t="s">
        <v>46</v>
      </c>
      <c r="G15" s="10" t="str">
        <f>MID(I15,3,LEN(I15)-3)</f>
        <v>50855</v>
      </c>
      <c r="H15" s="8">
        <f>1*K15</f>
        <v>1</v>
      </c>
      <c r="I15" s="42" t="s">
        <v>74</v>
      </c>
      <c r="J15" s="43" t="s">
        <v>75</v>
      </c>
      <c r="K15" s="42">
        <v>1</v>
      </c>
      <c r="L15" s="42" t="s">
        <v>76</v>
      </c>
      <c r="M15" s="43" t="s">
        <v>61</v>
      </c>
      <c r="N15" s="43" t="s">
        <v>62</v>
      </c>
      <c r="O15" s="44" t="s">
        <v>77</v>
      </c>
      <c r="P15" s="45" t="s">
        <v>78</v>
      </c>
    </row>
    <row r="16" spans="1:16" x14ac:dyDescent="0.2">
      <c r="B16" s="3"/>
      <c r="F16" s="3"/>
    </row>
    <row r="17" spans="2:6" x14ac:dyDescent="0.2">
      <c r="B17" s="3"/>
      <c r="F17" s="3"/>
    </row>
    <row r="18" spans="2:6" x14ac:dyDescent="0.2">
      <c r="B18" s="3"/>
      <c r="F18" s="3"/>
    </row>
    <row r="19" spans="2:6" x14ac:dyDescent="0.2">
      <c r="B19" s="3"/>
      <c r="F19" s="3"/>
    </row>
    <row r="20" spans="2:6" x14ac:dyDescent="0.2">
      <c r="B20" s="3"/>
      <c r="F20" s="3"/>
    </row>
    <row r="21" spans="2:6" x14ac:dyDescent="0.2">
      <c r="B21" s="3"/>
      <c r="F21" s="3"/>
    </row>
    <row r="22" spans="2:6" x14ac:dyDescent="0.2">
      <c r="B22" s="3"/>
      <c r="F22" s="3"/>
    </row>
    <row r="23" spans="2:6" x14ac:dyDescent="0.2">
      <c r="B23" s="3"/>
      <c r="F23" s="3"/>
    </row>
    <row r="24" spans="2:6" x14ac:dyDescent="0.2">
      <c r="B24" s="3"/>
      <c r="F24" s="3"/>
    </row>
    <row r="25" spans="2:6" x14ac:dyDescent="0.2">
      <c r="B25" s="3"/>
      <c r="F25" s="3"/>
    </row>
    <row r="26" spans="2:6" x14ac:dyDescent="0.2">
      <c r="B26" s="3"/>
      <c r="F26" s="3"/>
    </row>
    <row r="27" spans="2:6" x14ac:dyDescent="0.2">
      <c r="B27" s="3"/>
      <c r="F27" s="3"/>
    </row>
    <row r="28" spans="2:6" x14ac:dyDescent="0.2">
      <c r="B28" s="3"/>
      <c r="F28" s="3"/>
    </row>
    <row r="29" spans="2:6" x14ac:dyDescent="0.2">
      <c r="B29" s="3"/>
      <c r="F29" s="3"/>
    </row>
    <row r="30" spans="2:6" x14ac:dyDescent="0.2">
      <c r="B30" s="3"/>
      <c r="F30" s="3"/>
    </row>
    <row r="31" spans="2:6" x14ac:dyDescent="0.2">
      <c r="B31" s="3"/>
      <c r="F31" s="3"/>
    </row>
    <row r="32" spans="2: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</sheetData>
  <phoneticPr fontId="7" type="noConversion"/>
  <hyperlinks>
    <hyperlink ref="A3" r:id="rId1" xr:uid="{00000000-0004-0000-0100-000000000000}"/>
    <hyperlink ref="P15" r:id="rId2" display="http://www.konkoly.hu/cgi-bin/IBVS?4679" xr:uid="{00000000-0004-0000-0100-000001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2024-07-28T07:44:08Z</dcterms:modified>
</cp:coreProperties>
</file>