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B7C48704-31E9-40EA-8532-9AA39B09D78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F14" i="1" l="1"/>
  <c r="E22" i="1"/>
  <c r="F22" i="1"/>
  <c r="G22" i="1"/>
  <c r="I22" i="1"/>
  <c r="E23" i="1"/>
  <c r="F23" i="1"/>
  <c r="G23" i="1"/>
  <c r="I23" i="1"/>
  <c r="G11" i="1"/>
  <c r="F11" i="1"/>
  <c r="Q22" i="1"/>
  <c r="Q23" i="1"/>
  <c r="C21" i="1"/>
  <c r="E21" i="1"/>
  <c r="F21" i="1"/>
  <c r="A21" i="1"/>
  <c r="H20" i="1"/>
  <c r="C17" i="1"/>
  <c r="Q21" i="1"/>
  <c r="G21" i="1"/>
  <c r="H21" i="1"/>
  <c r="C11" i="1"/>
  <c r="C12" i="1"/>
  <c r="F15" i="1" l="1"/>
  <c r="C16" i="1"/>
  <c r="D18" i="1" s="1"/>
  <c r="O21" i="1"/>
  <c r="S21" i="1" s="1"/>
  <c r="C15" i="1"/>
  <c r="O22" i="1"/>
  <c r="S22" i="1" s="1"/>
  <c r="O23" i="1"/>
  <c r="S23" i="1" s="1"/>
  <c r="S19" i="1" l="1"/>
  <c r="F16" i="1"/>
  <c r="F18" i="1" s="1"/>
  <c r="C18" i="1"/>
  <c r="F17" i="1" l="1"/>
</calcChain>
</file>

<file path=xl/sharedStrings.xml><?xml version="1.0" encoding="utf-8"?>
<sst xmlns="http://schemas.openxmlformats.org/spreadsheetml/2006/main" count="58" uniqueCount="53">
  <si>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</si>
  <si>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</si>
  <si>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</si>
  <si>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</si>
  <si>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</si>
  <si>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</si>
  <si>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</si>
  <si>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</si>
  <si>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</si>
  <si>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</si>
  <si>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</si>
  <si>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</si>
  <si>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</si>
  <si>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</si>
  <si>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</si>
  <si>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</si>
  <si>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</si>
  <si>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</si>
  <si>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</si>
  <si>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</si>
  <si>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</si>
  <si>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</si>
  <si>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</si>
  <si>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</si>
  <si>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</si>
  <si>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</si>
  <si>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</si>
  <si>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</si>
  <si>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</si>
  <si>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</si>
  <si>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</si>
  <si>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</si>
  <si>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Add cycle</t>
  </si>
  <si>
    <t>Old Cycle</t>
  </si>
  <si>
    <t>New Cycle</t>
  </si>
  <si>
    <t>not avail.</t>
  </si>
  <si>
    <t>Constell:</t>
  </si>
  <si>
    <t>G4684-0099</t>
  </si>
  <si>
    <t>OEJV 0155</t>
  </si>
  <si>
    <t>I</t>
  </si>
  <si>
    <t>IBVS 6011</t>
  </si>
  <si>
    <t>GSC 4684-0099</t>
  </si>
  <si>
    <t>G4684-0099_Cet.xls</t>
  </si>
  <si>
    <t>EB / EW</t>
  </si>
  <si>
    <t>Cet</t>
  </si>
  <si>
    <t>VSX</t>
  </si>
  <si>
    <t>CCD</t>
  </si>
  <si>
    <t xml:space="preserve">Mag </t>
  </si>
  <si>
    <t>Next ToM-P</t>
  </si>
  <si>
    <t>Next ToM-S</t>
  </si>
  <si>
    <t>CCD?</t>
  </si>
  <si>
    <t>S3</t>
  </si>
  <si>
    <t>BAD?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</si>
</sst>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20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color indexed="17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  <font>
      <b/>
      <sz val="10"/>
      <color rgb="FF0070C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8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1" applyNumberFormat="0" applyFont="0" applyFill="0" applyAlignment="0" applyProtection="0"/>
  </cellStyleXfs>
  <cellXfs count="46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Alignment="1"/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>
      <alignment vertical="top"/>
    </xf>
    <xf numFmtId="0" fontId="12" fillId="0" borderId="0" xfId="0" applyFont="1" applyAlignment="1">
      <alignment horizontal="left"/>
    </xf>
    <xf numFmtId="0" fontId="14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0" fillId="2" borderId="0" xfId="0" applyFill="1">
      <alignment vertical="top"/>
    </xf>
    <xf numFmtId="0" fontId="15" fillId="0" borderId="0" xfId="0" applyFont="1">
      <alignment vertical="top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0" fillId="0" borderId="0" xfId="0" applyAlignment="1">
      <alignment horizontal="right"/>
    </xf>
    <xf numFmtId="0" fontId="5" fillId="3" borderId="5" xfId="0" applyFont="1" applyFill="1" applyBorder="1" applyAlignment="1">
      <alignment horizontal="right" vertical="center"/>
    </xf>
    <xf numFmtId="0" fontId="5" fillId="3" borderId="6" xfId="0" applyFont="1" applyFill="1" applyBorder="1" applyAlignment="1">
      <alignment horizontal="center" vertical="center"/>
    </xf>
    <xf numFmtId="0" fontId="17" fillId="0" borderId="7" xfId="0" applyFont="1" applyBorder="1" applyAlignment="1">
      <alignment horizontal="right" vertical="center"/>
    </xf>
    <xf numFmtId="0" fontId="19" fillId="0" borderId="8" xfId="0" applyFont="1" applyBorder="1" applyAlignment="1"/>
    <xf numFmtId="0" fontId="18" fillId="0" borderId="8" xfId="0" applyFont="1" applyBorder="1" applyAlignment="1"/>
    <xf numFmtId="22" fontId="17" fillId="0" borderId="7" xfId="0" applyNumberFormat="1" applyFont="1" applyBorder="1" applyAlignment="1">
      <alignment horizontal="right" vertical="center"/>
    </xf>
    <xf numFmtId="22" fontId="18" fillId="0" borderId="8" xfId="0" applyNumberFormat="1" applyFont="1" applyBorder="1" applyAlignment="1"/>
    <xf numFmtId="22" fontId="18" fillId="0" borderId="9" xfId="0" applyNumberFormat="1" applyFont="1" applyBorder="1" applyAlignment="1"/>
    <xf numFmtId="0" fontId="17" fillId="0" borderId="10" xfId="0" applyFont="1" applyBorder="1" applyAlignment="1">
      <alignment horizontal="right" vertical="center"/>
    </xf>
    <xf numFmtId="0" fontId="0" fillId="0" borderId="0" xfId="0" applyAlignment="1">
      <alignment horizontal="left" vertical="center"/>
    </xf>
    <xf numFmtId="0" fontId="15" fillId="0" borderId="0" xfId="0" applyFont="1" applyAlignment="1">
      <alignment horizontal="left" vertical="center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GSC 4684-0099 -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76246334310852"/>
          <c:w val="0.82406015037593983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0.01</c:v>
                  </c:pt>
                  <c:pt idx="2">
                    <c:v>4.0000000000000002E-4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0.01</c:v>
                  </c:pt>
                  <c:pt idx="2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6987</c:v>
                </c:pt>
                <c:pt idx="2">
                  <c:v>7082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46B-414C-85C7-20A65B1DF8A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CCD?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  <c:pt idx="2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  <c:pt idx="2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6987</c:v>
                </c:pt>
                <c:pt idx="2">
                  <c:v>7082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-1.1275999997451436E-2</c:v>
                </c:pt>
                <c:pt idx="2">
                  <c:v>-1.4435999997658655E-2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46B-414C-85C7-20A65B1DF8A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  <c:pt idx="2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  <c:pt idx="2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6987</c:v>
                </c:pt>
                <c:pt idx="2">
                  <c:v>7082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46B-414C-85C7-20A65B1DF8A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  <c:pt idx="2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  <c:pt idx="2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6987</c:v>
                </c:pt>
                <c:pt idx="2">
                  <c:v>7082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46B-414C-85C7-20A65B1DF8A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  <c:pt idx="2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  <c:pt idx="2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6987</c:v>
                </c:pt>
                <c:pt idx="2">
                  <c:v>7082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46B-414C-85C7-20A65B1DF8A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  <c:pt idx="2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  <c:pt idx="2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6987</c:v>
                </c:pt>
                <c:pt idx="2">
                  <c:v>7082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46B-414C-85C7-20A65B1DF8A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  <c:pt idx="2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  <c:pt idx="2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6987</c:v>
                </c:pt>
                <c:pt idx="2">
                  <c:v>7082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346B-414C-85C7-20A65B1DF8A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6987</c:v>
                </c:pt>
                <c:pt idx="2">
                  <c:v>7082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2.0162586667198112E-5</c:v>
                </c:pt>
                <c:pt idx="1">
                  <c:v>-1.2779067774052494E-2</c:v>
                </c:pt>
                <c:pt idx="2">
                  <c:v>-1.2953094807724795E-2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346B-414C-85C7-20A65B1DF8AE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6987</c:v>
                </c:pt>
                <c:pt idx="2">
                  <c:v>7082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346B-414C-85C7-20A65B1DF8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7051184"/>
        <c:axId val="1"/>
      </c:scatterChart>
      <c:valAx>
        <c:axId val="6870511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63157894736841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870511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9398496240601504"/>
          <c:y val="0.92375366568914952"/>
          <c:w val="0.75488721804511283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66675</xdr:colOff>
      <xdr:row>0</xdr:row>
      <xdr:rowOff>0</xdr:rowOff>
    </xdr:from>
    <xdr:to>
      <xdr:col>17</xdr:col>
      <xdr:colOff>152400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AEA3B867-AF8D-44DD-B353-B46A1FFD01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6" sqref="F6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2.42578125" customWidth="1"/>
    <col min="6" max="6" width="15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41</v>
      </c>
      <c r="E1" t="s">
        <v>42</v>
      </c>
    </row>
    <row r="2" spans="1:7" x14ac:dyDescent="0.2">
      <c r="A2" t="s">
        <v>23</v>
      </c>
      <c r="B2" t="s">
        <v>43</v>
      </c>
      <c r="C2" s="28" t="s">
        <v>36</v>
      </c>
      <c r="D2" s="3" t="s">
        <v>44</v>
      </c>
      <c r="E2" s="29" t="s">
        <v>37</v>
      </c>
      <c r="F2" t="s">
        <v>37</v>
      </c>
    </row>
    <row r="3" spans="1:7" ht="13.5" thickBot="1" x14ac:dyDescent="0.25"/>
    <row r="4" spans="1:7" ht="14.25" thickTop="1" thickBot="1" x14ac:dyDescent="0.25">
      <c r="A4" s="5" t="s">
        <v>0</v>
      </c>
      <c r="C4" s="25" t="s">
        <v>35</v>
      </c>
      <c r="D4" s="26" t="s">
        <v>35</v>
      </c>
    </row>
    <row r="6" spans="1:7" x14ac:dyDescent="0.2">
      <c r="A6" s="5" t="s">
        <v>1</v>
      </c>
    </row>
    <row r="7" spans="1:7" x14ac:dyDescent="0.2">
      <c r="A7" t="s">
        <v>2</v>
      </c>
      <c r="C7" s="34">
        <v>53588.824999999997</v>
      </c>
      <c r="D7" s="27" t="s">
        <v>45</v>
      </c>
    </row>
    <row r="8" spans="1:7" x14ac:dyDescent="0.2">
      <c r="A8" t="s">
        <v>3</v>
      </c>
      <c r="C8" s="34">
        <v>0.32474799999999998</v>
      </c>
      <c r="D8" s="27" t="s">
        <v>45</v>
      </c>
    </row>
    <row r="9" spans="1:7" x14ac:dyDescent="0.2">
      <c r="A9" s="9" t="s">
        <v>28</v>
      </c>
      <c r="B9" s="10"/>
      <c r="C9" s="11">
        <v>-9.5</v>
      </c>
      <c r="D9" s="10" t="s">
        <v>29</v>
      </c>
      <c r="E9" s="10"/>
    </row>
    <row r="10" spans="1:7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7" x14ac:dyDescent="0.2">
      <c r="A11" s="10" t="s">
        <v>15</v>
      </c>
      <c r="B11" s="10"/>
      <c r="C11" s="19">
        <f ca="1">INTERCEPT(INDIRECT($G$11):G992,INDIRECT($F$11):F992)</f>
        <v>2.0162586667198112E-5</v>
      </c>
      <c r="D11" s="3"/>
      <c r="E11" s="10"/>
      <c r="F11" s="20" t="str">
        <f>"F"&amp;E19</f>
        <v>F21</v>
      </c>
      <c r="G11" s="21" t="str">
        <f>"G"&amp;E19</f>
        <v>G21</v>
      </c>
    </row>
    <row r="12" spans="1:7" x14ac:dyDescent="0.2">
      <c r="A12" s="10" t="s">
        <v>16</v>
      </c>
      <c r="B12" s="10"/>
      <c r="C12" s="19">
        <f ca="1">SLOPE(INDIRECT($G$11):G992,INDIRECT($F$11):F992)</f>
        <v>-1.8318635123400159E-6</v>
      </c>
      <c r="D12" s="3"/>
      <c r="E12" s="35" t="s">
        <v>47</v>
      </c>
      <c r="F12" s="36"/>
    </row>
    <row r="13" spans="1:7" x14ac:dyDescent="0.2">
      <c r="A13" s="10" t="s">
        <v>18</v>
      </c>
      <c r="B13" s="10"/>
      <c r="C13" s="3" t="s">
        <v>13</v>
      </c>
      <c r="D13" s="14"/>
      <c r="E13" s="37" t="s">
        <v>32</v>
      </c>
      <c r="F13" s="38">
        <v>1</v>
      </c>
    </row>
    <row r="14" spans="1:7" x14ac:dyDescent="0.2">
      <c r="A14" s="10"/>
      <c r="B14" s="10"/>
      <c r="C14" s="10"/>
      <c r="D14" s="14"/>
      <c r="E14" s="37" t="s">
        <v>30</v>
      </c>
      <c r="F14" s="39">
        <f ca="1">NOW()+15018.5+$C$9/24</f>
        <v>60507.696035879628</v>
      </c>
    </row>
    <row r="15" spans="1:7" x14ac:dyDescent="0.2">
      <c r="A15" s="12" t="s">
        <v>17</v>
      </c>
      <c r="B15" s="10"/>
      <c r="C15" s="13">
        <f ca="1">(C7+C11)+(C8+C12)*INT(MAX(F21:F3533))</f>
        <v>55888.677382905189</v>
      </c>
      <c r="D15" s="14"/>
      <c r="E15" s="37" t="s">
        <v>33</v>
      </c>
      <c r="F15" s="39">
        <f ca="1">ROUND(2*($F$14-$C$7)/$C$8,0)/2+$F$13</f>
        <v>21306.5</v>
      </c>
    </row>
    <row r="16" spans="1:7" x14ac:dyDescent="0.2">
      <c r="A16" s="15" t="s">
        <v>4</v>
      </c>
      <c r="B16" s="10"/>
      <c r="C16" s="16">
        <f ca="1">+C8+C12</f>
        <v>0.32474616813648766</v>
      </c>
      <c r="D16" s="14"/>
      <c r="E16" s="37" t="s">
        <v>34</v>
      </c>
      <c r="F16" s="39">
        <f ca="1">ROUND(2*($F$14-$C$15)/$C$16,0)/2+$F$13</f>
        <v>14224.5</v>
      </c>
    </row>
    <row r="17" spans="1:19" ht="13.5" thickBot="1" x14ac:dyDescent="0.25">
      <c r="A17" s="14" t="s">
        <v>27</v>
      </c>
      <c r="B17" s="10"/>
      <c r="C17" s="10">
        <f>COUNT(C21:C2191)</f>
        <v>3</v>
      </c>
      <c r="D17" s="14"/>
      <c r="E17" s="40" t="s">
        <v>48</v>
      </c>
      <c r="F17" s="41">
        <f ca="1">+$C$15+$C$16*$F$16-15018.5-$C$9/24</f>
        <v>45489.925084895993</v>
      </c>
    </row>
    <row r="18" spans="1:19" ht="14.25" thickTop="1" thickBot="1" x14ac:dyDescent="0.25">
      <c r="A18" s="15" t="s">
        <v>5</v>
      </c>
      <c r="B18" s="10"/>
      <c r="C18" s="17">
        <f ca="1">+C15</f>
        <v>55888.677382905189</v>
      </c>
      <c r="D18" s="18">
        <f ca="1">+C16</f>
        <v>0.32474616813648766</v>
      </c>
      <c r="E18" s="43" t="s">
        <v>49</v>
      </c>
      <c r="F18" s="42">
        <f ca="1">+($C$15+$C$16*$F$16)-($C$16/2)-15018.5-$C$9/24</f>
        <v>45489.762711811927</v>
      </c>
    </row>
    <row r="19" spans="1:19" ht="13.5" thickTop="1" x14ac:dyDescent="0.2">
      <c r="A19" s="22" t="s">
        <v>31</v>
      </c>
      <c r="E19" s="23">
        <v>21</v>
      </c>
      <c r="S19">
        <f ca="1">SQRT(SUM(S21:S50)/(COUNT(S21:S50)-1))</f>
        <v>1.4930885896842052E-3</v>
      </c>
    </row>
    <row r="20" spans="1:19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tr">
        <f>A21</f>
        <v>VSX</v>
      </c>
      <c r="I20" s="7" t="s">
        <v>50</v>
      </c>
      <c r="J20" s="7" t="s">
        <v>51</v>
      </c>
      <c r="K20" s="7" t="s">
        <v>46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R20" s="24" t="s">
        <v>52</v>
      </c>
    </row>
    <row r="21" spans="1:19" x14ac:dyDescent="0.2">
      <c r="A21" t="str">
        <f>D7</f>
        <v>VSX</v>
      </c>
      <c r="C21" s="44">
        <f>C$7</f>
        <v>53588.824999999997</v>
      </c>
      <c r="D21" s="44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2.0162586667198112E-5</v>
      </c>
      <c r="Q21" s="2">
        <f>+C21-15018.5</f>
        <v>38570.324999999997</v>
      </c>
      <c r="S21">
        <f ca="1">+(O21-G21)^2</f>
        <v>4.0652990111227509E-10</v>
      </c>
    </row>
    <row r="22" spans="1:19" x14ac:dyDescent="0.2">
      <c r="A22" s="30" t="s">
        <v>38</v>
      </c>
      <c r="B22" s="31" t="s">
        <v>39</v>
      </c>
      <c r="C22" s="45">
        <v>55857.828000000001</v>
      </c>
      <c r="D22" s="45">
        <v>0.01</v>
      </c>
      <c r="E22">
        <f>+(C22-C$7)/C$8</f>
        <v>6986.9652776922549</v>
      </c>
      <c r="F22">
        <f>ROUND(2*E22,0)/2</f>
        <v>6987</v>
      </c>
      <c r="G22">
        <f>+C22-(C$7+F22*C$8)</f>
        <v>-1.1275999997451436E-2</v>
      </c>
      <c r="I22">
        <f>+G22</f>
        <v>-1.1275999997451436E-2</v>
      </c>
      <c r="O22">
        <f ca="1">+C$11+C$12*$F22</f>
        <v>-1.2779067774052494E-2</v>
      </c>
      <c r="Q22" s="2">
        <f>+C22-15018.5</f>
        <v>40839.328000000001</v>
      </c>
      <c r="S22">
        <f ca="1">+(O22-G22)^2</f>
        <v>2.2592127410564482E-6</v>
      </c>
    </row>
    <row r="23" spans="1:19" x14ac:dyDescent="0.2">
      <c r="A23" s="32" t="s">
        <v>40</v>
      </c>
      <c r="B23" s="33" t="s">
        <v>39</v>
      </c>
      <c r="C23" s="32">
        <v>55888.675900000002</v>
      </c>
      <c r="D23" s="32">
        <v>4.0000000000000002E-4</v>
      </c>
      <c r="E23">
        <f>+(C23-C$7)/C$8</f>
        <v>7081.955547070359</v>
      </c>
      <c r="F23">
        <f>ROUND(2*E23,0)/2</f>
        <v>7082</v>
      </c>
      <c r="G23">
        <f>+C23-(C$7+F23*C$8)</f>
        <v>-1.4435999997658655E-2</v>
      </c>
      <c r="I23">
        <f>+G23</f>
        <v>-1.4435999997658655E-2</v>
      </c>
      <c r="O23">
        <f ca="1">+C$11+C$12*$F23</f>
        <v>-1.2953094807724795E-2</v>
      </c>
      <c r="Q23" s="2">
        <f>+C23-15018.5</f>
        <v>40870.175900000002</v>
      </c>
      <c r="S23">
        <f ca="1">+(O23-G23)^2</f>
        <v>2.1990078023327774E-6</v>
      </c>
    </row>
    <row r="24" spans="1:19" x14ac:dyDescent="0.2">
      <c r="C24" s="44"/>
      <c r="D24" s="44"/>
      <c r="Q24" s="2"/>
    </row>
    <row r="25" spans="1:19" x14ac:dyDescent="0.2">
      <c r="C25" s="44"/>
      <c r="D25" s="44"/>
      <c r="Q25" s="2"/>
    </row>
    <row r="26" spans="1:19" x14ac:dyDescent="0.2">
      <c r="C26" s="44"/>
      <c r="D26" s="44"/>
      <c r="Q26" s="2"/>
    </row>
    <row r="27" spans="1:19" x14ac:dyDescent="0.2">
      <c r="C27" s="44"/>
      <c r="D27" s="44"/>
      <c r="Q27" s="2"/>
    </row>
    <row r="28" spans="1:19" x14ac:dyDescent="0.2">
      <c r="C28" s="44"/>
      <c r="D28" s="44"/>
      <c r="Q28" s="2"/>
    </row>
    <row r="29" spans="1:19" x14ac:dyDescent="0.2">
      <c r="C29" s="44"/>
      <c r="D29" s="44"/>
      <c r="Q29" s="2"/>
    </row>
    <row r="30" spans="1:19" x14ac:dyDescent="0.2">
      <c r="C30" s="44"/>
      <c r="D30" s="44"/>
      <c r="Q30" s="2"/>
    </row>
    <row r="31" spans="1:19" x14ac:dyDescent="0.2">
      <c r="C31" s="44"/>
      <c r="D31" s="44"/>
      <c r="Q31" s="2"/>
    </row>
    <row r="32" spans="1:19" x14ac:dyDescent="0.2">
      <c r="C32" s="44"/>
      <c r="D32" s="44"/>
      <c r="Q32" s="2"/>
    </row>
    <row r="33" spans="3:17" x14ac:dyDescent="0.2">
      <c r="C33" s="44"/>
      <c r="D33" s="44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2024-07-16T04:42:17Z</dcterms:modified>
</cp:coreProperties>
</file>