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DFEEFFA-CDBE-492C-9B07-C24B2BE29D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F14" i="1"/>
  <c r="E24" i="1"/>
  <c r="F24" i="1" s="1"/>
  <c r="G24" i="1" s="1"/>
  <c r="K24" i="1" s="1"/>
  <c r="Q24" i="1"/>
  <c r="E23" i="1"/>
  <c r="F23" i="1" s="1"/>
  <c r="G23" i="1" s="1"/>
  <c r="K23" i="1" s="1"/>
  <c r="Q23" i="1"/>
  <c r="C9" i="1"/>
  <c r="E22" i="1"/>
  <c r="F22" i="1" s="1"/>
  <c r="G22" i="1" s="1"/>
  <c r="I22" i="1" s="1"/>
  <c r="D9" i="1"/>
  <c r="C17" i="1"/>
  <c r="Q22" i="1"/>
  <c r="C11" i="1"/>
  <c r="C12" i="1"/>
  <c r="O21" i="1" l="1"/>
  <c r="F15" i="1"/>
  <c r="O24" i="1"/>
  <c r="C16" i="1"/>
  <c r="D18" i="1" s="1"/>
  <c r="C15" i="1"/>
  <c r="O22" i="1"/>
  <c r="O23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<sst xmlns="http://schemas.openxmlformats.org/spreadsheetml/2006/main" count="61" uniqueCount="55">
  <si>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</si>
  <si>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</si>
  <si>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</si>
  <si>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</si>
  <si>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</si>
  <si>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</si>
  <si>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</si>
  <si>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</si>
  <si>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</si>
  <si>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</si>
  <si>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</si>
  <si>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</si>
  <si>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</si>
  <si>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</si>
  <si>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</si>
  <si>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</si>
  <si>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</si>
  <si>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</si>
  <si>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</si>
  <si>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</si>
  <si>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</si>
  <si>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</si>
  <si>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</si>
  <si>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</si>
  <si>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</si>
  <si>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</si>
  <si>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</si>
  <si>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</si>
  <si>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</si>
  <si>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</si>
  <si>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</si>
  <si>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</si>
  <si>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</si>
  <si>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</si>
  <si>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</si>
  <si>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</si>
  <si>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</si>
  <si>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</si>
  <si>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</si>
  <si>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</si>
  <si>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IN Cet</t>
  </si>
  <si>
    <t>2017K</t>
  </si>
  <si>
    <t>G4681-0686</t>
  </si>
  <si>
    <t xml:space="preserve">EW        </t>
  </si>
  <si>
    <t>pr_6</t>
  </si>
  <si>
    <t xml:space="preserve">     </t>
  </si>
  <si>
    <t>GCVS</t>
  </si>
  <si>
    <t>IN Cet / GSC 4681-0686</t>
  </si>
  <si>
    <t>I</t>
  </si>
  <si>
    <t>OEJV 0179</t>
  </si>
  <si>
    <t>JBAV, 79</t>
  </si>
  <si>
    <t xml:space="preserve">Mag 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</si>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</sst>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4" fontId="33" fillId="0" borderId="0" xfId="28" applyFont="1" applyBorder="1"/>
    <xf numFmtId="165" fontId="0" fillId="0" borderId="0" xfId="0" applyNumberFormat="1" applyAlignment="1">
      <alignment horizontal="left"/>
    </xf>
    <xf numFmtId="165" fontId="32" fillId="0" borderId="0" xfId="42" applyNumberFormat="1" applyFont="1" applyAlignment="1">
      <alignment horizontal="left"/>
    </xf>
    <xf numFmtId="165" fontId="33" fillId="0" borderId="0" xfId="0" applyNumberFormat="1" applyFont="1" applyAlignment="1" applyProtection="1">
      <alignment horizontal="left" vertical="center" wrapText="1"/>
      <protection locked="0"/>
    </xf>
    <xf numFmtId="0" fontId="0" fillId="26" borderId="12" xfId="0" applyFill="1" applyBorder="1" applyAlignment="1">
      <alignment horizontal="right" vertical="center"/>
    </xf>
    <xf numFmtId="0" fontId="0" fillId="26" borderId="13" xfId="0" applyFill="1" applyBorder="1" applyAlignment="1">
      <alignment vertical="center"/>
    </xf>
    <xf numFmtId="0" fontId="34" fillId="0" borderId="14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22" fontId="35" fillId="0" borderId="16" xfId="0" applyNumberFormat="1" applyFont="1" applyBorder="1" applyAlignment="1">
      <alignment horizontal="right" vertical="center"/>
    </xf>
    <xf numFmtId="0" fontId="34" fillId="0" borderId="17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3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IN Cet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2.0000000000000001E-4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2.0000000000000001E-4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3072</c:v>
                </c:pt>
                <c:pt idx="2">
                  <c:v>10035.5</c:v>
                </c:pt>
                <c:pt idx="3">
                  <c:v>19280.5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77-4B17-A397-50E59A358A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3072</c:v>
                </c:pt>
                <c:pt idx="2">
                  <c:v>10035.5</c:v>
                </c:pt>
                <c:pt idx="3">
                  <c:v>19280.5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2.8639999945880845E-3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77-4B17-A397-50E59A358A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3072</c:v>
                </c:pt>
                <c:pt idx="2">
                  <c:v>10035.5</c:v>
                </c:pt>
                <c:pt idx="3">
                  <c:v>19280.5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77-4B17-A397-50E59A358A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3072</c:v>
                </c:pt>
                <c:pt idx="2">
                  <c:v>10035.5</c:v>
                </c:pt>
                <c:pt idx="3">
                  <c:v>19280.5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3.8173500004631933E-2</c:v>
                </c:pt>
                <c:pt idx="3">
                  <c:v>-1.6321500086633023E-2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77-4B17-A397-50E59A358A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3072</c:v>
                </c:pt>
                <c:pt idx="2">
                  <c:v>10035.5</c:v>
                </c:pt>
                <c:pt idx="3">
                  <c:v>19280.5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77-4B17-A397-50E59A358A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3072</c:v>
                </c:pt>
                <c:pt idx="2">
                  <c:v>10035.5</c:v>
                </c:pt>
                <c:pt idx="3">
                  <c:v>19280.5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77-4B17-A397-50E59A358A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3072</c:v>
                </c:pt>
                <c:pt idx="2">
                  <c:v>10035.5</c:v>
                </c:pt>
                <c:pt idx="3">
                  <c:v>19280.5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77-4B17-A397-50E59A358A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3072</c:v>
                </c:pt>
                <c:pt idx="2">
                  <c:v>10035.5</c:v>
                </c:pt>
                <c:pt idx="3">
                  <c:v>19280.5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1.0710558542793916E-2</c:v>
                </c:pt>
                <c:pt idx="1">
                  <c:v>8.9912862307529005E-3</c:v>
                </c:pt>
                <c:pt idx="2">
                  <c:v>5.0941010924398771E-3</c:v>
                </c:pt>
                <c:pt idx="3">
                  <c:v>-7.994595339970087E-5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77-4B17-A397-50E59A358A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3072</c:v>
                </c:pt>
                <c:pt idx="2">
                  <c:v>10035.5</c:v>
                </c:pt>
                <c:pt idx="3">
                  <c:v>19280.5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77-4B17-A397-50E59A358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546224"/>
        <c:axId val="1"/>
      </c:scatterChart>
      <c:valAx>
        <c:axId val="541546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546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093E29-36BE-35E4-2626-5F0CF48EC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O38" sqref="O37:P3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5703125" customWidth="1"/>
    <col min="4" max="4" width="9.42578125" customWidth="1"/>
    <col min="5" max="5" width="11.71093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0" t="s">
        <v>40</v>
      </c>
      <c r="G1" s="28" t="s">
        <v>41</v>
      </c>
      <c r="H1" s="31"/>
      <c r="I1" s="32" t="s">
        <v>42</v>
      </c>
      <c r="J1" s="33" t="s">
        <v>40</v>
      </c>
      <c r="K1" s="34">
        <v>1.0425</v>
      </c>
      <c r="L1" s="34">
        <v>0.30412</v>
      </c>
      <c r="M1" s="35">
        <v>54717.84</v>
      </c>
      <c r="N1" s="35">
        <v>0.32136399999999998</v>
      </c>
      <c r="O1" s="34" t="s">
        <v>43</v>
      </c>
      <c r="P1" s="34">
        <v>13.55</v>
      </c>
      <c r="Q1" s="34">
        <v>14.3</v>
      </c>
      <c r="R1" s="36" t="s">
        <v>44</v>
      </c>
      <c r="S1" s="37" t="s">
        <v>45</v>
      </c>
    </row>
    <row r="2" spans="1:19" x14ac:dyDescent="0.2">
      <c r="A2" t="s">
        <v>23</v>
      </c>
      <c r="B2" t="s">
        <v>43</v>
      </c>
      <c r="C2" s="27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5">
        <v>54717.84</v>
      </c>
      <c r="D4" s="26">
        <v>0.32136399999999998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53">
        <v>53730.61</v>
      </c>
      <c r="D7" s="54" t="s">
        <v>54</v>
      </c>
    </row>
    <row r="8" spans="1:19" x14ac:dyDescent="0.2">
      <c r="A8" t="s">
        <v>3</v>
      </c>
      <c r="C8" s="53">
        <v>0.32136300000000001</v>
      </c>
      <c r="D8" s="54" t="s">
        <v>54</v>
      </c>
    </row>
    <row r="9" spans="1:19" x14ac:dyDescent="0.2">
      <c r="A9" s="23" t="s">
        <v>31</v>
      </c>
      <c r="B9" s="29">
        <v>21</v>
      </c>
      <c r="C9" s="21" t="str">
        <f>"F"&amp;B9</f>
        <v>F21</v>
      </c>
      <c r="D9" s="22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0">
        <f ca="1">INTERCEPT(INDIRECT($D$9):G992,INDIRECT($C$9):F992)</f>
        <v>1.0710558542793916E-2</v>
      </c>
      <c r="D11" s="3"/>
      <c r="E11" s="10"/>
    </row>
    <row r="12" spans="1:19" x14ac:dyDescent="0.2">
      <c r="A12" s="10" t="s">
        <v>16</v>
      </c>
      <c r="B12" s="10"/>
      <c r="C12" s="20">
        <f ca="1">SLOPE(INDIRECT($D$9):G992,INDIRECT($C$9):F992)</f>
        <v>-5.5965895574251797E-7</v>
      </c>
      <c r="D12" s="3"/>
      <c r="E12" s="45" t="s">
        <v>51</v>
      </c>
      <c r="F12" s="46"/>
    </row>
    <row r="13" spans="1:19" x14ac:dyDescent="0.2">
      <c r="A13" s="10" t="s">
        <v>18</v>
      </c>
      <c r="B13" s="10"/>
      <c r="C13" s="3" t="s">
        <v>13</v>
      </c>
      <c r="E13" s="47" t="s">
        <v>33</v>
      </c>
      <c r="F13" s="48">
        <v>1</v>
      </c>
    </row>
    <row r="14" spans="1:19" x14ac:dyDescent="0.2">
      <c r="A14" s="10"/>
      <c r="B14" s="10"/>
      <c r="C14" s="10"/>
      <c r="E14" s="47" t="s">
        <v>30</v>
      </c>
      <c r="F14" s="49">
        <f ca="1">NOW()+15018.5+$C$5/24</f>
        <v>60507.733205324075</v>
      </c>
    </row>
    <row r="15" spans="1:19" x14ac:dyDescent="0.2">
      <c r="A15" s="12" t="s">
        <v>17</v>
      </c>
      <c r="B15" s="10"/>
      <c r="C15" s="13">
        <f ca="1">(C7+C11)+(C8+C12)*INT(MAX(F21:F3533))</f>
        <v>59926.488560333877</v>
      </c>
      <c r="E15" s="47" t="s">
        <v>34</v>
      </c>
      <c r="F15" s="49">
        <f ca="1">ROUND(2*($F$14-$C$7)/$C$8,0)/2+$F$13</f>
        <v>21089.5</v>
      </c>
    </row>
    <row r="16" spans="1:19" x14ac:dyDescent="0.2">
      <c r="A16" s="15" t="s">
        <v>4</v>
      </c>
      <c r="B16" s="10"/>
      <c r="C16" s="16">
        <f ca="1">+C8+C12</f>
        <v>0.32136244034104428</v>
      </c>
      <c r="E16" s="47" t="s">
        <v>35</v>
      </c>
      <c r="F16" s="49">
        <f ca="1">ROUND(2*($F$14-$C$15)/$C$16,0)/2+$F$13</f>
        <v>1809.5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47" t="s">
        <v>52</v>
      </c>
      <c r="F17" s="50">
        <f ca="1">+$C$15+$C$16*$F$16-15018.5-$C$5/24</f>
        <v>45489.889729464332</v>
      </c>
    </row>
    <row r="18" spans="1:21" ht="14.25" thickTop="1" thickBot="1" x14ac:dyDescent="0.25">
      <c r="A18" s="15" t="s">
        <v>5</v>
      </c>
      <c r="B18" s="10"/>
      <c r="C18" s="18">
        <f ca="1">+C15</f>
        <v>59926.488560333877</v>
      </c>
      <c r="D18" s="19">
        <f ca="1">+C16</f>
        <v>0.32136244034104428</v>
      </c>
      <c r="E18" s="52" t="s">
        <v>53</v>
      </c>
      <c r="F18" s="51">
        <f ca="1">+($C$15+$C$16*$F$16)-($C$16/2)-15018.5-$C$5/24</f>
        <v>45489.72904824416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x14ac:dyDescent="0.2">
      <c r="A21" t="s">
        <v>54</v>
      </c>
      <c r="C21" s="42">
        <v>53730.61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1.0710558542793916E-2</v>
      </c>
      <c r="Q21" s="2">
        <f>+C21-15018.5</f>
        <v>38712.11</v>
      </c>
    </row>
    <row r="22" spans="1:21" x14ac:dyDescent="0.2">
      <c r="A22" t="s">
        <v>46</v>
      </c>
      <c r="C22" s="42">
        <v>54717.84</v>
      </c>
      <c r="D22" s="8" t="s">
        <v>13</v>
      </c>
      <c r="E22">
        <f>+(C22-C$7)/C$8</f>
        <v>3072.0089120402658</v>
      </c>
      <c r="F22">
        <f>ROUND(2*E22,0)/2</f>
        <v>3072</v>
      </c>
      <c r="G22">
        <f>+C22-(C$7+F22*C$8)</f>
        <v>2.8639999945880845E-3</v>
      </c>
      <c r="I22">
        <f>+G22</f>
        <v>2.8639999945880845E-3</v>
      </c>
      <c r="O22">
        <f ca="1">+C$11+C$12*$F22</f>
        <v>8.9912862307529005E-3</v>
      </c>
      <c r="Q22" s="2">
        <f>+C22-15018.5</f>
        <v>39699.339999999997</v>
      </c>
    </row>
    <row r="23" spans="1:21" x14ac:dyDescent="0.2">
      <c r="A23" s="38" t="s">
        <v>49</v>
      </c>
      <c r="B23" s="39" t="s">
        <v>48</v>
      </c>
      <c r="C23" s="43">
        <v>56955.686560000002</v>
      </c>
      <c r="D23" s="40">
        <v>2.0000000000000001E-4</v>
      </c>
      <c r="E23">
        <f>+(C23-C$7)/C$8</f>
        <v>10035.618786232395</v>
      </c>
      <c r="F23">
        <f>ROUND(2*E23,0)/2</f>
        <v>10035.5</v>
      </c>
      <c r="G23">
        <f>+C23-(C$7+F23*C$8)</f>
        <v>3.8173500004631933E-2</v>
      </c>
      <c r="K23">
        <f>+G23</f>
        <v>3.8173500004631933E-2</v>
      </c>
      <c r="O23">
        <f ca="1">+C$11+C$12*$F23</f>
        <v>5.0941010924398771E-3</v>
      </c>
      <c r="Q23" s="2">
        <f>+C23-15018.5</f>
        <v>41937.186560000002</v>
      </c>
    </row>
    <row r="24" spans="1:21" x14ac:dyDescent="0.2">
      <c r="A24" s="41" t="s">
        <v>50</v>
      </c>
      <c r="B24" s="41" t="s">
        <v>48</v>
      </c>
      <c r="C24" s="44">
        <v>59926.632999999914</v>
      </c>
      <c r="D24" s="55">
        <v>0.01</v>
      </c>
      <c r="E24">
        <f>+(C24-C$7)/C$8</f>
        <v>19280.449211638905</v>
      </c>
      <c r="F24">
        <f>ROUND(2*E24,0)/2</f>
        <v>19280.5</v>
      </c>
      <c r="G24">
        <f>+C24-(C$7+F24*C$8)</f>
        <v>-1.6321500086633023E-2</v>
      </c>
      <c r="K24">
        <f>+G24</f>
        <v>-1.6321500086633023E-2</v>
      </c>
      <c r="O24">
        <f ca="1">+C$11+C$12*$F24</f>
        <v>-7.994595339970087E-5</v>
      </c>
      <c r="Q24" s="2">
        <f>+C24-15018.5</f>
        <v>44908.132999999914</v>
      </c>
    </row>
    <row r="25" spans="1:21" x14ac:dyDescent="0.2">
      <c r="C25" s="42"/>
      <c r="D25" s="8"/>
      <c r="Q25" s="2"/>
    </row>
    <row r="26" spans="1:21" x14ac:dyDescent="0.2">
      <c r="C26" s="42"/>
      <c r="D26" s="8"/>
      <c r="Q26" s="2"/>
    </row>
    <row r="27" spans="1:21" x14ac:dyDescent="0.2">
      <c r="C27" s="42"/>
      <c r="D27" s="8"/>
      <c r="Q27" s="2"/>
    </row>
    <row r="28" spans="1:21" x14ac:dyDescent="0.2">
      <c r="C28" s="42"/>
      <c r="D28" s="8"/>
      <c r="Q28" s="2"/>
    </row>
    <row r="29" spans="1:21" x14ac:dyDescent="0.2">
      <c r="C29" s="42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W28">
    <sortCondition ref="C21:C28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2024-07-16T05:35:48Z</dcterms:modified>
</cp:coreProperties>
</file>