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7BDB61-CE03-47F8-9E2F-2FCE61B3AC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5" i="1"/>
  <c r="F25" i="1" s="1"/>
  <c r="G25" i="1" s="1"/>
  <c r="I25" i="1" s="1"/>
  <c r="Q25" i="1"/>
  <c r="E26" i="1"/>
  <c r="F26" i="1"/>
  <c r="G26" i="1" s="1"/>
  <c r="I26" i="1" s="1"/>
  <c r="Q26" i="1"/>
  <c r="E22" i="1"/>
  <c r="F22" i="1"/>
  <c r="G22" i="1" s="1"/>
  <c r="I22" i="1" s="1"/>
  <c r="E23" i="1"/>
  <c r="F23" i="1"/>
  <c r="G23" i="1" s="1"/>
  <c r="I23" i="1" s="1"/>
  <c r="E24" i="1"/>
  <c r="F24" i="1"/>
  <c r="G24" i="1" s="1"/>
  <c r="I24" i="1" s="1"/>
  <c r="Q22" i="1"/>
  <c r="Q23" i="1"/>
  <c r="Q24" i="1"/>
  <c r="D9" i="1"/>
  <c r="E21" i="1"/>
  <c r="F21" i="1"/>
  <c r="G21" i="1" s="1"/>
  <c r="I21" i="1" s="1"/>
  <c r="E9" i="1"/>
  <c r="C17" i="1"/>
  <c r="Q21" i="1"/>
  <c r="C11" i="1"/>
  <c r="C12" i="1"/>
  <c r="F15" i="1" l="1"/>
  <c r="O26" i="1"/>
  <c r="O25" i="1"/>
  <c r="C16" i="1"/>
  <c r="D18" i="1" s="1"/>
  <c r="O24" i="1"/>
  <c r="O21" i="1"/>
  <c r="O22" i="1"/>
  <c r="O23" i="1"/>
  <c r="C15" i="1"/>
  <c r="F16" i="1" s="1"/>
  <c r="F17" i="1" l="1"/>
  <c r="F18" i="1"/>
  <c r="C18" i="1"/>
</calcChain>
</file>

<file path=xl/sharedStrings.xml><?xml version="1.0" encoding="utf-8"?>
<sst xmlns="http://schemas.openxmlformats.org/spreadsheetml/2006/main" count="72" uniqueCount="63">
  <si>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</si>
  <si>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</si>
  <si>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</si>
  <si>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</si>
  <si>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</si>
  <si>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</si>
  <si>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</si>
  <si>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</si>
  <si>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</si>
  <si>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</si>
  <si>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</si>
  <si>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</si>
  <si>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</si>
  <si>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</si>
  <si>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</si>
  <si>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</si>
  <si>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</si>
  <si>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</si>
  <si>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</si>
  <si>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</si>
  <si>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</si>
  <si>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</si>
  <si>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</si>
  <si>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</si>
  <si>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</si>
  <si>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</si>
  <si>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</si>
  <si>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</si>
  <si>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</si>
  <si>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</si>
  <si>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</si>
  <si>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</si>
  <si>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</si>
  <si>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</si>
  <si>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</si>
  <si>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</si>
  <si>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</si>
  <si>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</si>
  <si>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</si>
  <si>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</si>
  <si>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LV Cet</t>
  </si>
  <si>
    <t>2019G</t>
  </si>
  <si>
    <t>G054--504</t>
  </si>
  <si>
    <t>EA</t>
  </si>
  <si>
    <t>pr_</t>
  </si>
  <si>
    <t>ba</t>
  </si>
  <si>
    <t>LV Ce</t>
  </si>
  <si>
    <t>V Ce</t>
  </si>
  <si>
    <t>Cet</t>
  </si>
  <si>
    <t>yes</t>
  </si>
  <si>
    <t>LV Cet / GSC G054-0504</t>
  </si>
  <si>
    <t>VSX</t>
  </si>
  <si>
    <t>2019-07-12</t>
  </si>
  <si>
    <t>GCVS</t>
  </si>
  <si>
    <t>IBVS 6130</t>
  </si>
  <si>
    <t>II</t>
  </si>
  <si>
    <t>JBAV, 79</t>
  </si>
  <si>
    <t>I</t>
  </si>
  <si>
    <t xml:space="preserve">Mag </t>
  </si>
  <si>
    <t>Next ToM-P</t>
  </si>
  <si>
    <t>Next ToM-S</t>
  </si>
  <si>
    <t>10.99-11.50-</t>
  </si>
  <si>
    <t>New VSX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</si>
</sst>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18" fillId="0" borderId="0" xfId="0" quotePrefix="1" applyFont="1">
      <alignment vertical="top"/>
    </xf>
    <xf numFmtId="0" fontId="33" fillId="0" borderId="0" xfId="42" applyFont="1" applyAlignment="1">
      <alignment horizontal="left" vertical="center" wrapText="1"/>
    </xf>
    <xf numFmtId="0" fontId="33" fillId="0" borderId="0" xfId="42" applyFont="1" applyAlignment="1">
      <alignment horizontal="left" wrapText="1"/>
    </xf>
    <xf numFmtId="4" fontId="35" fillId="0" borderId="0" xfId="28" applyFont="1" applyBorder="1"/>
    <xf numFmtId="165" fontId="0" fillId="0" borderId="0" xfId="0" applyNumberFormat="1" applyAlignment="1">
      <alignment horizontal="left"/>
    </xf>
    <xf numFmtId="165" fontId="33" fillId="0" borderId="0" xfId="42" applyNumberFormat="1" applyFont="1" applyAlignment="1">
      <alignment horizontal="left" wrapText="1"/>
    </xf>
    <xf numFmtId="165" fontId="3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35" fillId="0" borderId="0" xfId="0" applyFont="1" applyAlignment="1">
      <alignment horizontal="left" vertical="center" wrapText="1"/>
    </xf>
    <xf numFmtId="0" fontId="0" fillId="0" borderId="8" xfId="0" applyBorder="1" applyAlignment="1"/>
    <xf numFmtId="0" fontId="33" fillId="0" borderId="0" xfId="42" applyFont="1" applyAlignment="1">
      <alignment vertical="center" wrapText="1"/>
    </xf>
    <xf numFmtId="4" fontId="35" fillId="0" borderId="0" xfId="28" applyFont="1" applyBorder="1" applyAlignment="1"/>
    <xf numFmtId="0" fontId="0" fillId="27" borderId="12" xfId="0" applyFill="1" applyBorder="1" applyAlignment="1">
      <alignment horizontal="right" vertical="center"/>
    </xf>
    <xf numFmtId="0" fontId="16" fillId="27" borderId="13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right" vertical="center"/>
    </xf>
    <xf numFmtId="0" fontId="38" fillId="0" borderId="15" xfId="0" applyFont="1" applyBorder="1" applyAlignment="1"/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  <xf numFmtId="0" fontId="37" fillId="0" borderId="17" xfId="0" applyFont="1" applyBorder="1" applyAlignment="1">
      <alignment horizontal="right"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LV Cet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0-42E7-809C-FD67F83AF7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7.1684998838463798E-3</c:v>
                </c:pt>
                <c:pt idx="2">
                  <c:v>-2.4780500112683512E-2</c:v>
                </c:pt>
                <c:pt idx="3">
                  <c:v>-2.427050011465326E-2</c:v>
                </c:pt>
                <c:pt idx="4">
                  <c:v>-4.9292499956209213E-2</c:v>
                </c:pt>
                <c:pt idx="5">
                  <c:v>-5.178250017343089E-2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0-42E7-809C-FD67F83AF7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0-42E7-809C-FD67F83AF7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30-42E7-809C-FD67F83AF7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30-42E7-809C-FD67F83AF7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0-42E7-809C-FD67F83AF7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30-42E7-809C-FD67F83AF7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1.1121881185239671E-2</c:v>
                </c:pt>
                <c:pt idx="1">
                  <c:v>-7.1851885680216838E-3</c:v>
                </c:pt>
                <c:pt idx="2">
                  <c:v>-2.6264283631743275E-2</c:v>
                </c:pt>
                <c:pt idx="3">
                  <c:v>-2.6398548903127664E-2</c:v>
                </c:pt>
                <c:pt idx="4">
                  <c:v>-4.5705894928202713E-2</c:v>
                </c:pt>
                <c:pt idx="5">
                  <c:v>-4.8525465627274868E-2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30-42E7-809C-FD67F83AF71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30-42E7-809C-FD67F83A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807064"/>
        <c:axId val="1"/>
      </c:scatterChart>
      <c:valAx>
        <c:axId val="540807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807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9BF2D1-4025-8A37-0333-A4C0EE81F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28515625" customWidth="1"/>
    <col min="4" max="4" width="9.42578125" customWidth="1"/>
    <col min="5" max="5" width="13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50</v>
      </c>
      <c r="F1" s="33" t="s">
        <v>40</v>
      </c>
      <c r="G1" s="30" t="s">
        <v>41</v>
      </c>
      <c r="H1" s="31"/>
      <c r="I1" s="34" t="s">
        <v>42</v>
      </c>
      <c r="J1" s="35" t="s">
        <v>40</v>
      </c>
      <c r="K1" s="36">
        <v>2.5918999999999999</v>
      </c>
      <c r="L1" s="36">
        <v>6.4343000000000004</v>
      </c>
      <c r="M1" s="37">
        <v>51889.870000000112</v>
      </c>
      <c r="N1" s="37">
        <v>1.8085690000000001</v>
      </c>
      <c r="O1" s="36" t="s">
        <v>43</v>
      </c>
      <c r="P1" s="36">
        <v>10.99</v>
      </c>
      <c r="Q1" s="36">
        <v>11.46</v>
      </c>
      <c r="R1" s="38" t="s">
        <v>44</v>
      </c>
      <c r="S1" s="39" t="s">
        <v>45</v>
      </c>
      <c r="T1" s="40" t="s">
        <v>46</v>
      </c>
      <c r="U1" s="41" t="s">
        <v>47</v>
      </c>
      <c r="V1" s="32" t="s">
        <v>48</v>
      </c>
      <c r="W1" s="42" t="s">
        <v>49</v>
      </c>
    </row>
    <row r="2" spans="1:23" x14ac:dyDescent="0.2">
      <c r="A2" t="s">
        <v>23</v>
      </c>
      <c r="B2" t="s">
        <v>43</v>
      </c>
      <c r="C2" s="29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6">
        <v>54355.860999999997</v>
      </c>
      <c r="D4" s="27">
        <v>1.8085500000000001</v>
      </c>
      <c r="E4" s="43" t="s">
        <v>52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50">
        <v>51889.870000000112</v>
      </c>
      <c r="D7" s="28" t="s">
        <v>51</v>
      </c>
      <c r="E7" s="63" t="s">
        <v>62</v>
      </c>
    </row>
    <row r="8" spans="1:23" x14ac:dyDescent="0.2">
      <c r="A8" t="s">
        <v>3</v>
      </c>
      <c r="C8" s="50">
        <v>1.8085690000000001</v>
      </c>
      <c r="D8" s="28" t="s">
        <v>51</v>
      </c>
      <c r="E8" s="64">
        <v>1.8085500000000001</v>
      </c>
    </row>
    <row r="9" spans="1:23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0">
        <f ca="1">INTERCEPT(INDIRECT($E$9):G992,INDIRECT($D$9):F992)</f>
        <v>1.1121881185239671E-2</v>
      </c>
      <c r="D11" s="3"/>
      <c r="E11" s="10"/>
    </row>
    <row r="12" spans="1:23" x14ac:dyDescent="0.2">
      <c r="A12" s="10" t="s">
        <v>16</v>
      </c>
      <c r="B12" s="10"/>
      <c r="C12" s="20">
        <f ca="1">SLOPE(INDIRECT($E$9):G992,INDIRECT($D$9):F992)</f>
        <v>-1.3426527138438838E-5</v>
      </c>
      <c r="D12" s="3"/>
      <c r="E12" s="55" t="s">
        <v>58</v>
      </c>
      <c r="F12" s="56" t="s">
        <v>61</v>
      </c>
    </row>
    <row r="13" spans="1:23" x14ac:dyDescent="0.2">
      <c r="A13" s="10" t="s">
        <v>18</v>
      </c>
      <c r="B13" s="10"/>
      <c r="C13" s="3" t="s">
        <v>13</v>
      </c>
      <c r="E13" s="57" t="s">
        <v>33</v>
      </c>
      <c r="F13" s="58">
        <v>1</v>
      </c>
    </row>
    <row r="14" spans="1:23" x14ac:dyDescent="0.2">
      <c r="A14" s="10"/>
      <c r="B14" s="10"/>
      <c r="C14" s="10"/>
      <c r="E14" s="57" t="s">
        <v>30</v>
      </c>
      <c r="F14" s="59">
        <f ca="1">NOW()+15018.5+$C$5/24</f>
        <v>60507.767319675921</v>
      </c>
    </row>
    <row r="15" spans="1:23" x14ac:dyDescent="0.2">
      <c r="A15" s="12" t="s">
        <v>17</v>
      </c>
      <c r="B15" s="10"/>
      <c r="C15" s="13">
        <f ca="1">(C7+C11)+(C8+C12)*INT(MAX(F21:F3533))</f>
        <v>59923.484979247747</v>
      </c>
      <c r="E15" s="57" t="s">
        <v>34</v>
      </c>
      <c r="F15" s="59">
        <f ca="1">ROUND(2*($F$14-$C$7)/$C$8,0)/2+$F$13</f>
        <v>4766</v>
      </c>
    </row>
    <row r="16" spans="1:23" x14ac:dyDescent="0.2">
      <c r="A16" s="15" t="s">
        <v>4</v>
      </c>
      <c r="B16" s="10"/>
      <c r="C16" s="16">
        <f ca="1">+C8+C12</f>
        <v>1.8085555734728616</v>
      </c>
      <c r="E16" s="57" t="s">
        <v>35</v>
      </c>
      <c r="F16" s="59">
        <f ca="1">ROUND(2*($F$14-$C$15)/$C$16,0)/2+$F$13</f>
        <v>324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57" t="s">
        <v>59</v>
      </c>
      <c r="F17" s="60">
        <f ca="1">+$C$15+$C$16*$F$16-15018.5-$C$5/24</f>
        <v>45491.352818386287</v>
      </c>
    </row>
    <row r="18" spans="1:21" ht="14.25" thickTop="1" thickBot="1" x14ac:dyDescent="0.25">
      <c r="A18" s="15" t="s">
        <v>5</v>
      </c>
      <c r="B18" s="10"/>
      <c r="C18" s="18">
        <f ca="1">+C15</f>
        <v>59923.484979247747</v>
      </c>
      <c r="D18" s="19">
        <f ca="1">+C16</f>
        <v>1.8085555734728616</v>
      </c>
      <c r="E18" s="62" t="s">
        <v>60</v>
      </c>
      <c r="F18" s="61">
        <f ca="1">+($C$15+$C$16*$F$16)-($C$16/2)-15018.5-$C$5/24</f>
        <v>45490.448540599551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52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32</v>
      </c>
    </row>
    <row r="21" spans="1:21" x14ac:dyDescent="0.2">
      <c r="A21" t="s">
        <v>51</v>
      </c>
      <c r="C21" s="47">
        <v>51889.870000000112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1.1121881185239671E-2</v>
      </c>
      <c r="Q21" s="2">
        <f>+C21-15018.5</f>
        <v>36871.370000000112</v>
      </c>
    </row>
    <row r="22" spans="1:21" x14ac:dyDescent="0.2">
      <c r="A22" t="s">
        <v>53</v>
      </c>
      <c r="C22" s="47">
        <v>54355.860999999997</v>
      </c>
      <c r="D22" s="8"/>
      <c r="E22">
        <f>+(C22-C$7)/C$8</f>
        <v>1363.5039636308513</v>
      </c>
      <c r="F22">
        <f>ROUND(2*E22,0)/2</f>
        <v>1363.5</v>
      </c>
      <c r="G22">
        <f>+C22-(C$7+F22*C$8)</f>
        <v>7.1684998838463798E-3</v>
      </c>
      <c r="I22">
        <f>+G22</f>
        <v>7.1684998838463798E-3</v>
      </c>
      <c r="O22">
        <f ca="1">+C$11+C$12*$F22</f>
        <v>-7.1851885680216838E-3</v>
      </c>
      <c r="Q22" s="2">
        <f>+C22-15018.5</f>
        <v>39337.360999999997</v>
      </c>
    </row>
    <row r="23" spans="1:21" x14ac:dyDescent="0.2">
      <c r="A23" s="44" t="s">
        <v>54</v>
      </c>
      <c r="B23" s="53" t="s">
        <v>55</v>
      </c>
      <c r="C23" s="48">
        <v>56925.8056</v>
      </c>
      <c r="D23" s="45">
        <v>5.0000000000000001E-4</v>
      </c>
      <c r="E23">
        <f>+(C23-C$7)/C$8</f>
        <v>2784.4862982832769</v>
      </c>
      <c r="F23">
        <f>ROUND(2*E23,0)/2</f>
        <v>2784.5</v>
      </c>
      <c r="G23">
        <f>+C23-(C$7+F23*C$8)</f>
        <v>-2.4780500112683512E-2</v>
      </c>
      <c r="I23">
        <f>+G23</f>
        <v>-2.4780500112683512E-2</v>
      </c>
      <c r="O23">
        <f ca="1">+C$11+C$12*$F23</f>
        <v>-2.6264283631743275E-2</v>
      </c>
      <c r="Q23" s="2">
        <f>+C23-15018.5</f>
        <v>41907.3056</v>
      </c>
    </row>
    <row r="24" spans="1:21" x14ac:dyDescent="0.2">
      <c r="A24" s="44" t="s">
        <v>54</v>
      </c>
      <c r="B24" s="53" t="s">
        <v>55</v>
      </c>
      <c r="C24" s="48">
        <v>56943.891799999998</v>
      </c>
      <c r="D24" s="45">
        <v>5.0000000000000001E-4</v>
      </c>
      <c r="E24">
        <f>+(C24-C$7)/C$8</f>
        <v>2794.4865802741756</v>
      </c>
      <c r="F24">
        <f>ROUND(2*E24,0)/2</f>
        <v>2794.5</v>
      </c>
      <c r="G24">
        <f>+C24-(C$7+F24*C$8)</f>
        <v>-2.427050011465326E-2</v>
      </c>
      <c r="I24">
        <f>+G24</f>
        <v>-2.427050011465326E-2</v>
      </c>
      <c r="O24">
        <f ca="1">+C$11+C$12*$F24</f>
        <v>-2.6398548903127664E-2</v>
      </c>
      <c r="Q24" s="2">
        <f>+C24-15018.5</f>
        <v>41925.391799999998</v>
      </c>
    </row>
    <row r="25" spans="1:21" x14ac:dyDescent="0.2">
      <c r="A25" s="46" t="s">
        <v>56</v>
      </c>
      <c r="B25" s="54" t="s">
        <v>57</v>
      </c>
      <c r="C25" s="49">
        <v>59544.589000000153</v>
      </c>
      <c r="D25" s="51">
        <v>5.0000000000000001E-3</v>
      </c>
      <c r="E25">
        <f t="shared" ref="E25:E26" si="0">+(C25-C$7)/C$8</f>
        <v>4232.4727450266155</v>
      </c>
      <c r="F25">
        <f t="shared" ref="F25:F26" si="1">ROUND(2*E25,0)/2</f>
        <v>4232.5</v>
      </c>
      <c r="G25">
        <f t="shared" ref="G25:G26" si="2">+C25-(C$7+F25*C$8)</f>
        <v>-4.9292499956209213E-2</v>
      </c>
      <c r="I25">
        <f t="shared" ref="I25:I26" si="3">+G25</f>
        <v>-4.9292499956209213E-2</v>
      </c>
      <c r="O25">
        <f t="shared" ref="O25:O26" ca="1" si="4">+C$11+C$12*$F25</f>
        <v>-4.5705894928202713E-2</v>
      </c>
      <c r="Q25" s="2">
        <f t="shared" ref="Q25:Q26" si="5">+C25-15018.5</f>
        <v>44526.089000000153</v>
      </c>
    </row>
    <row r="26" spans="1:21" x14ac:dyDescent="0.2">
      <c r="A26" s="46" t="s">
        <v>56</v>
      </c>
      <c r="B26" s="54" t="s">
        <v>57</v>
      </c>
      <c r="C26" s="49">
        <v>59924.38599999994</v>
      </c>
      <c r="D26" s="51">
        <v>5.0000000000000001E-3</v>
      </c>
      <c r="E26">
        <f t="shared" si="0"/>
        <v>4442.4713682473975</v>
      </c>
      <c r="F26">
        <f t="shared" si="1"/>
        <v>4442.5</v>
      </c>
      <c r="G26">
        <f t="shared" si="2"/>
        <v>-5.178250017343089E-2</v>
      </c>
      <c r="I26">
        <f t="shared" si="3"/>
        <v>-5.178250017343089E-2</v>
      </c>
      <c r="O26">
        <f t="shared" ca="1" si="4"/>
        <v>-4.8525465627274868E-2</v>
      </c>
      <c r="Q26" s="2">
        <f t="shared" si="5"/>
        <v>44905.88599999994</v>
      </c>
    </row>
    <row r="27" spans="1:21" x14ac:dyDescent="0.2">
      <c r="C27" s="47"/>
      <c r="D27" s="8"/>
      <c r="Q27" s="2"/>
    </row>
    <row r="28" spans="1:21" x14ac:dyDescent="0.2">
      <c r="C28" s="47"/>
      <c r="D28" s="8"/>
      <c r="Q28" s="2"/>
    </row>
    <row r="29" spans="1:21" x14ac:dyDescent="0.2">
      <c r="C29" s="47"/>
      <c r="D29" s="8"/>
      <c r="Q29" s="2"/>
    </row>
    <row r="30" spans="1:21" x14ac:dyDescent="0.2">
      <c r="C30" s="47"/>
      <c r="D30" s="8"/>
      <c r="Q30" s="2"/>
    </row>
    <row r="31" spans="1:21" x14ac:dyDescent="0.2">
      <c r="C31" s="47"/>
      <c r="D31" s="8"/>
      <c r="Q31" s="2"/>
    </row>
    <row r="32" spans="1:21" x14ac:dyDescent="0.2">
      <c r="C32" s="47"/>
      <c r="D32" s="8"/>
      <c r="Q32" s="2"/>
    </row>
    <row r="33" spans="3:17" x14ac:dyDescent="0.2">
      <c r="C33" s="47"/>
      <c r="D33" s="8"/>
      <c r="Q33" s="2"/>
    </row>
    <row r="34" spans="3:17" x14ac:dyDescent="0.2">
      <c r="C34" s="47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2024-07-16T06:24:56Z</dcterms:modified>
</cp:coreProperties>
</file>