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0203F8-92FB-48DE-B445-CB3775832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G11" i="1"/>
  <c r="F11" i="1"/>
  <c r="Q24" i="1"/>
  <c r="C17" i="1"/>
  <c r="Q23" i="1"/>
  <c r="E24" i="1"/>
  <c r="F24" i="1" s="1"/>
  <c r="G24" i="1" s="1"/>
  <c r="J24" i="1" s="1"/>
  <c r="Q22" i="1"/>
  <c r="E22" i="1"/>
  <c r="F22" i="1" s="1"/>
  <c r="G22" i="1" s="1"/>
  <c r="J22" i="1" s="1"/>
  <c r="E23" i="1"/>
  <c r="F23" i="1" s="1"/>
  <c r="G23" i="1" s="1"/>
  <c r="J23" i="1" s="1"/>
  <c r="C12" i="1"/>
  <c r="F15" i="1" l="1"/>
  <c r="C16" i="1"/>
  <c r="D18" i="1" s="1"/>
  <c r="C11" i="1"/>
  <c r="O21" i="1" l="1"/>
  <c r="O24" i="1"/>
  <c r="O22" i="1"/>
  <c r="C15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<sst xmlns="http://schemas.openxmlformats.org/spreadsheetml/2006/main" count="56" uniqueCount="51">
  <si>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</si>
  <si>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</si>
  <si>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</si>
  <si>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</si>
  <si>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</si>
  <si>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</si>
  <si>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</si>
  <si>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</si>
  <si>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</si>
  <si>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</si>
  <si>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</si>
  <si>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</si>
  <si>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</si>
  <si>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</si>
  <si>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</si>
  <si>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</si>
  <si>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</si>
  <si>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</si>
  <si>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</si>
  <si>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</si>
  <si>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</si>
  <si>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</si>
  <si>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</si>
  <si>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</si>
  <si>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</si>
  <si>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</si>
  <si>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</si>
  <si>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</si>
  <si>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</si>
  <si>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</si>
  <si>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</si>
  <si>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</si>
  <si>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</si>
  <si>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</si>
  <si>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</si>
  <si>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</si>
  <si>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</si>
  <si>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AT Cir / GSC 9017-1182               </t>
  </si>
  <si>
    <t xml:space="preserve">EA/DM     </t>
  </si>
  <si>
    <t>IBVS 5809</t>
  </si>
  <si>
    <t>Add cycle</t>
  </si>
  <si>
    <t>Old Cycle</t>
  </si>
  <si>
    <t>OEJV 0130</t>
  </si>
  <si>
    <t>CCD</t>
  </si>
  <si>
    <t xml:space="preserve">Mag </t>
  </si>
  <si>
    <t>Next ToM-P</t>
  </si>
  <si>
    <t>Next ToM-S</t>
  </si>
  <si>
    <t>VSX</t>
  </si>
  <si>
    <t>7.60-8.24</t>
  </si>
  <si>
    <t>CCD?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</si>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</sst>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3" xfId="0" applyBorder="1" applyAlignment="1"/>
    <xf numFmtId="0" fontId="17" fillId="0" borderId="3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D3-479B-9525-7BA9CA95A1D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D3-479B-9525-7BA9CA95A1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">
                  <c:v>-3.4039999998640269E-2</c:v>
                </c:pt>
                <c:pt idx="2">
                  <c:v>-6.3999999838415533E-5</c:v>
                </c:pt>
                <c:pt idx="3">
                  <c:v>-5.3439999974216335E-3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D3-479B-9525-7BA9CA95A1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D3-479B-9525-7BA9CA95A1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D3-479B-9525-7BA9CA95A1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D3-479B-9525-7BA9CA95A1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  <c:pt idx="3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D3-479B-9525-7BA9CA95A1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-9.1231510697263249E-4</c:v>
                </c:pt>
                <c:pt idx="1">
                  <c:v>-1.2458831124216236E-2</c:v>
                </c:pt>
                <c:pt idx="2">
                  <c:v>-1.2728199387790202E-2</c:v>
                </c:pt>
                <c:pt idx="3">
                  <c:v>-1.3348654376921247E-2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D3-479B-9525-7BA9CA95A1D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56-4341-B6D6-419D661080FD}"/>
            </c:ext>
          </c:extLst>
        </c:ser>
        <c:ser>
          <c:idx val="10"/>
          <c:order val="10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Active!$R$21:$R$982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56-4341-B6D6-419D661080FD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11445</c:v>
                </c:pt>
                <c:pt idx="2">
                  <c:v>11712</c:v>
                </c:pt>
                <c:pt idx="3">
                  <c:v>12327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56-4341-B6D6-419D66108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769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0</c:v>
                      </c:pt>
                      <c:pt idx="1">
                        <c:v>11445</c:v>
                      </c:pt>
                      <c:pt idx="2">
                        <c:v>11712</c:v>
                      </c:pt>
                      <c:pt idx="3">
                        <c:v>12327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203.01699999999983</c:v>
                      </c:pt>
                      <c:pt idx="1">
                        <c:v>37484.75</c:v>
                      </c:pt>
                      <c:pt idx="2">
                        <c:v>38354.529000000002</c:v>
                      </c:pt>
                      <c:pt idx="3">
                        <c:v>40357.868999999999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556-4341-B6D6-419D661080FD}"/>
                  </c:ext>
                </c:extLst>
              </c15:ser>
            </c15:filteredScatterSeries>
          </c:ext>
        </c:extLst>
      </c:scatterChart>
      <c:valAx>
        <c:axId val="6816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7894743394229871"/>
          <c:h val="5.407456598045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18</xdr:col>
      <xdr:colOff>438150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F0681C-8BD1-4555-2D2B-447EC8436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22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36</v>
      </c>
      <c r="C4" s="8">
        <v>52503.25</v>
      </c>
      <c r="D4" s="9">
        <v>3.25745</v>
      </c>
    </row>
    <row r="5" spans="1:7" x14ac:dyDescent="0.2">
      <c r="C5" s="27" t="s">
        <v>34</v>
      </c>
    </row>
    <row r="6" spans="1:7" x14ac:dyDescent="0.2">
      <c r="A6" s="5" t="s">
        <v>0</v>
      </c>
    </row>
    <row r="7" spans="1:7" x14ac:dyDescent="0.2">
      <c r="A7" t="s">
        <v>1</v>
      </c>
      <c r="C7" s="44">
        <v>15221.517</v>
      </c>
      <c r="D7" s="44" t="s">
        <v>47</v>
      </c>
    </row>
    <row r="8" spans="1:7" x14ac:dyDescent="0.2">
      <c r="A8" t="s">
        <v>2</v>
      </c>
      <c r="C8" s="44">
        <v>3.2574719999999999</v>
      </c>
      <c r="D8" s="44" t="s">
        <v>47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1">
        <f ca="1">INTERCEPT(INDIRECT($G$11):G992,INDIRECT($F$11):F992)</f>
        <v>-9.1231510697263249E-4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15</v>
      </c>
      <c r="B12" s="12"/>
      <c r="C12" s="21">
        <f ca="1">SLOPE(INDIRECT($G$11):G992,INDIRECT($F$11):F992)</f>
        <v>-1.0088699010260903E-6</v>
      </c>
      <c r="D12" s="3"/>
      <c r="E12" s="35" t="s">
        <v>44</v>
      </c>
      <c r="F12" s="36" t="s">
        <v>48</v>
      </c>
    </row>
    <row r="13" spans="1:7" x14ac:dyDescent="0.2">
      <c r="A13" s="12" t="s">
        <v>17</v>
      </c>
      <c r="B13" s="12"/>
      <c r="C13" s="3" t="s">
        <v>12</v>
      </c>
      <c r="D13" s="16"/>
      <c r="E13" s="37" t="s">
        <v>40</v>
      </c>
      <c r="F13" s="38">
        <v>1</v>
      </c>
    </row>
    <row r="14" spans="1:7" x14ac:dyDescent="0.2">
      <c r="A14" s="12"/>
      <c r="B14" s="12"/>
      <c r="C14" s="12"/>
      <c r="D14" s="16"/>
      <c r="E14" s="37" t="s">
        <v>30</v>
      </c>
      <c r="F14" s="39">
        <f ca="1">NOW()+15018.5+$C$9/24</f>
        <v>60525.598018518518</v>
      </c>
    </row>
    <row r="15" spans="1:7" x14ac:dyDescent="0.2">
      <c r="A15" s="14" t="s">
        <v>16</v>
      </c>
      <c r="B15" s="12"/>
      <c r="C15" s="15">
        <f ca="1">(C7+C11)+(C8+C12)*INT(MAX(F21:F3533))</f>
        <v>55376.360995345618</v>
      </c>
      <c r="D15" s="16"/>
      <c r="E15" s="37" t="s">
        <v>41</v>
      </c>
      <c r="F15" s="39">
        <f ca="1">ROUND(2*($F$14-$C$7)/$C$8,0)/2+$F$13</f>
        <v>13908.5</v>
      </c>
    </row>
    <row r="16" spans="1:7" x14ac:dyDescent="0.2">
      <c r="A16" s="17" t="s">
        <v>3</v>
      </c>
      <c r="B16" s="12"/>
      <c r="C16" s="18">
        <f ca="1">+C8+C12</f>
        <v>3.257470991130099</v>
      </c>
      <c r="D16" s="16"/>
      <c r="E16" s="37" t="s">
        <v>31</v>
      </c>
      <c r="F16" s="39">
        <f ca="1">ROUND(2*($F$14-$C$15)/$C$16,0)/2+$F$13</f>
        <v>1581.5</v>
      </c>
    </row>
    <row r="17" spans="1:23" ht="13.5" thickBot="1" x14ac:dyDescent="0.25">
      <c r="A17" s="16" t="s">
        <v>27</v>
      </c>
      <c r="B17" s="12"/>
      <c r="C17" s="12">
        <f>COUNT(C21:C2191)</f>
        <v>4</v>
      </c>
      <c r="D17" s="16"/>
      <c r="E17" s="40" t="s">
        <v>45</v>
      </c>
      <c r="F17" s="41">
        <f ca="1">+$C$15+$C$16*$F$16-15018.5-$C$9/24</f>
        <v>45509.947201151204</v>
      </c>
    </row>
    <row r="18" spans="1:23" ht="14.25" thickTop="1" thickBot="1" x14ac:dyDescent="0.25">
      <c r="A18" s="17" t="s">
        <v>4</v>
      </c>
      <c r="B18" s="12"/>
      <c r="C18" s="19">
        <f ca="1">+C15</f>
        <v>55376.360995345618</v>
      </c>
      <c r="D18" s="20">
        <f ca="1">+C16</f>
        <v>3.257470991130099</v>
      </c>
      <c r="E18" s="43" t="s">
        <v>46</v>
      </c>
      <c r="F18" s="42">
        <f ca="1">+($C$15+$C$16*$F$16)-($C$16/2)-15018.5-$C$9/24</f>
        <v>45508.31846565564</v>
      </c>
    </row>
    <row r="19" spans="1:23" ht="13.5" thickTop="1" x14ac:dyDescent="0.2">
      <c r="A19" s="24" t="s">
        <v>32</v>
      </c>
      <c r="E19" s="25">
        <v>21</v>
      </c>
    </row>
    <row r="20" spans="1:23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47</v>
      </c>
      <c r="I20" s="7" t="s">
        <v>26</v>
      </c>
      <c r="J20" s="7" t="s">
        <v>49</v>
      </c>
      <c r="K20" s="7" t="s">
        <v>43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45"/>
      <c r="S20" s="46" t="s">
        <v>50</v>
      </c>
    </row>
    <row r="21" spans="1:23" x14ac:dyDescent="0.2">
      <c r="A21" s="44" t="s">
        <v>47</v>
      </c>
      <c r="C21" s="10">
        <v>15221.517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-9.1231510697263249E-4</v>
      </c>
      <c r="Q21" s="2">
        <f>+C21-15018.5</f>
        <v>203.01699999999983</v>
      </c>
    </row>
    <row r="22" spans="1:23" x14ac:dyDescent="0.2">
      <c r="A22" s="29" t="s">
        <v>35</v>
      </c>
      <c r="B22" s="28" t="s">
        <v>33</v>
      </c>
      <c r="C22" s="29">
        <v>52503.25</v>
      </c>
      <c r="D22" s="26"/>
      <c r="E22">
        <f>+(C22-C$7)/C$8</f>
        <v>11444.989550178789</v>
      </c>
      <c r="F22">
        <f>ROUND(2*E22,0)/2</f>
        <v>11445</v>
      </c>
      <c r="G22">
        <f>+C22-(C$7+F22*C$8)</f>
        <v>-3.4039999998640269E-2</v>
      </c>
      <c r="J22">
        <f>+G22</f>
        <v>-3.4039999998640269E-2</v>
      </c>
      <c r="O22">
        <f ca="1">+C$11+C$12*$F22</f>
        <v>-1.2458831124216236E-2</v>
      </c>
      <c r="Q22" s="2">
        <f>+C22-15018.5</f>
        <v>37484.75</v>
      </c>
      <c r="W22" t="s">
        <v>34</v>
      </c>
    </row>
    <row r="23" spans="1:23" x14ac:dyDescent="0.2">
      <c r="A23" s="30" t="s">
        <v>39</v>
      </c>
      <c r="B23" s="31"/>
      <c r="C23" s="30">
        <v>53373.029000000002</v>
      </c>
      <c r="D23" s="30">
        <v>4.0000000000000001E-3</v>
      </c>
      <c r="E23">
        <f>+(C23-C$7)/C$8</f>
        <v>11711.999980352864</v>
      </c>
      <c r="F23">
        <f>ROUND(2*E23,0)/2</f>
        <v>11712</v>
      </c>
      <c r="G23">
        <f>+C23-(C$7+F23*C$8)</f>
        <v>-6.3999999838415533E-5</v>
      </c>
      <c r="J23">
        <f>+G23</f>
        <v>-6.3999999838415533E-5</v>
      </c>
      <c r="O23">
        <f ca="1">+C$11+C$12*$F23</f>
        <v>-1.2728199387790202E-2</v>
      </c>
      <c r="Q23" s="2">
        <f>+C23-15018.5</f>
        <v>38354.529000000002</v>
      </c>
    </row>
    <row r="24" spans="1:23" x14ac:dyDescent="0.2">
      <c r="A24" s="32" t="s">
        <v>42</v>
      </c>
      <c r="B24" s="33" t="s">
        <v>33</v>
      </c>
      <c r="C24" s="34">
        <v>55376.368999999999</v>
      </c>
      <c r="D24" s="34">
        <v>8.0000000000000002E-3</v>
      </c>
      <c r="E24">
        <f>+(C24-C$7)/C$8</f>
        <v>12326.998359464025</v>
      </c>
      <c r="F24">
        <f>ROUND(2*E24,0)/2</f>
        <v>12327</v>
      </c>
      <c r="G24">
        <f>+C24-(C$7+F24*C$8)</f>
        <v>-5.3439999974216335E-3</v>
      </c>
      <c r="J24">
        <f>+G24</f>
        <v>-5.3439999974216335E-3</v>
      </c>
      <c r="O24">
        <f ca="1">+C$11+C$12*$F24</f>
        <v>-1.3348654376921247E-2</v>
      </c>
      <c r="Q24" s="2">
        <f>+C24-15018.5</f>
        <v>40357.868999999999</v>
      </c>
    </row>
    <row r="25" spans="1:23" x14ac:dyDescent="0.2">
      <c r="C25" s="10"/>
      <c r="D25" s="10"/>
    </row>
    <row r="26" spans="1:23" x14ac:dyDescent="0.2">
      <c r="C26" s="10"/>
      <c r="D26" s="10"/>
    </row>
    <row r="27" spans="1:23" x14ac:dyDescent="0.2">
      <c r="C27" s="10"/>
      <c r="D27" s="10"/>
    </row>
    <row r="28" spans="1:23" x14ac:dyDescent="0.2">
      <c r="C28" s="10"/>
      <c r="D28" s="10"/>
    </row>
    <row r="29" spans="1:23" x14ac:dyDescent="0.2">
      <c r="C29" s="10"/>
      <c r="D29" s="10"/>
    </row>
    <row r="30" spans="1:23" x14ac:dyDescent="0.2">
      <c r="C30" s="10"/>
      <c r="D30" s="10"/>
    </row>
    <row r="31" spans="1:23" x14ac:dyDescent="0.2">
      <c r="C31" s="10"/>
      <c r="D31" s="10"/>
    </row>
    <row r="32" spans="1:23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W25">
    <sortCondition ref="C21:C2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2024-08-03T02:21:08Z</dcterms:modified>
</cp:coreProperties>
</file>