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3400336-0ED0-4DF0-9361-99B13821A2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2" i="1"/>
  <c r="F11" i="1"/>
  <c r="C21" i="1"/>
  <c r="C7" i="1"/>
  <c r="C8" i="1"/>
  <c r="E22" i="1"/>
  <c r="F22" i="1"/>
  <c r="E21" i="1"/>
  <c r="F21" i="1"/>
  <c r="G21" i="1"/>
  <c r="H21" i="1"/>
  <c r="G11" i="1"/>
  <c r="C17" i="1"/>
  <c r="Q21" i="1"/>
  <c r="G22" i="1"/>
  <c r="I22" i="1"/>
  <c r="C11" i="1"/>
  <c r="C12" i="1"/>
  <c r="F15" i="1" l="1"/>
  <c r="O22" i="1"/>
  <c r="C16" i="1"/>
  <c r="D18" i="1" s="1"/>
  <c r="O21" i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<sst xmlns="http://schemas.openxmlformats.org/spreadsheetml/2006/main" count="51" uniqueCount="49">
  <si>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</si>
  <si>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</si>
  <si>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</si>
  <si>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</si>
  <si>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</si>
  <si>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</si>
  <si>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</si>
  <si>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</si>
  <si>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</si>
  <si>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</si>
  <si>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</si>
  <si>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</si>
  <si>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</si>
  <si>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</si>
  <si>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</si>
  <si>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</si>
  <si>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</si>
  <si>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</si>
  <si>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</si>
  <si>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</si>
  <si>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</si>
  <si>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</si>
  <si>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</si>
  <si>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</si>
  <si>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</si>
  <si>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</si>
  <si>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</si>
  <si>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</si>
  <si>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</si>
  <si>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</si>
  <si>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</si>
  <si>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</si>
  <si>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</si>
  <si>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</si>
  <si>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</si>
  <si>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</si>
  <si>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</si>
  <si>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S Cir / GSC 8703-0261</t>
  </si>
  <si>
    <t>OEJV 116</t>
  </si>
  <si>
    <t>I</t>
  </si>
  <si>
    <t>GCVS</t>
  </si>
  <si>
    <t>EA/DS</t>
  </si>
  <si>
    <t>CCD</t>
  </si>
  <si>
    <t xml:space="preserve">Mag </t>
  </si>
  <si>
    <t>Next ToM-P</t>
  </si>
  <si>
    <t>Next ToM-S</t>
  </si>
  <si>
    <t>VSX</t>
  </si>
  <si>
    <t>10.8-12.10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</si>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</sst>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 vertical="top"/>
    </xf>
    <xf numFmtId="165" fontId="13" fillId="0" borderId="0" xfId="0" applyNumberFormat="1" applyFont="1" applyAlignment="1">
      <alignment horizontal="left" vertical="top"/>
    </xf>
    <xf numFmtId="0" fontId="14" fillId="0" borderId="1" xfId="0" applyFont="1" applyBorder="1" applyAlignment="1">
      <alignment vertical="center"/>
    </xf>
    <xf numFmtId="0" fontId="14" fillId="2" borderId="6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4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 Cir - O-C Diagr.</a:t>
            </a:r>
          </a:p>
        </c:rich>
      </c:tx>
      <c:layout>
        <c:manualLayout>
          <c:xMode val="edge"/>
          <c:yMode val="edge"/>
          <c:x val="0.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CE-4469-A1A6-C1276D18246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0.63357200000609737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CE-4469-A1A6-C1276D18246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CE-4469-A1A6-C1276D18246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CE-4469-A1A6-C1276D18246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CE-4469-A1A6-C1276D18246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CE-4469-A1A6-C1276D18246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CE-4469-A1A6-C1276D18246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0.63357200000609737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CE-4469-A1A6-C1276D182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797520"/>
        <c:axId val="1"/>
      </c:scatterChart>
      <c:valAx>
        <c:axId val="692797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797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57894736842105"/>
          <c:y val="0.92375366568914952"/>
          <c:w val="0.6646616541353382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9525</xdr:rowOff>
    </xdr:from>
    <xdr:to>
      <xdr:col>17</xdr:col>
      <xdr:colOff>180975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1EB4FCD-1B3B-EB76-BCB1-43DE84221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5703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s="29" t="s">
        <v>41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29117.473999999998</v>
      </c>
      <c r="D4" s="9">
        <v>9.9765960000000007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29117.473999999998</v>
      </c>
      <c r="D7" s="39" t="s">
        <v>46</v>
      </c>
    </row>
    <row r="8" spans="1:7" x14ac:dyDescent="0.2">
      <c r="A8" t="s">
        <v>3</v>
      </c>
      <c r="C8">
        <f>+D4</f>
        <v>9.9765960000000007</v>
      </c>
      <c r="D8" s="39" t="s">
        <v>46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1">
        <f ca="1">INTERCEPT(INDIRECT($G$11):G992,INDIRECT($F$11):F992)</f>
        <v>0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17</v>
      </c>
      <c r="B12" s="12"/>
      <c r="C12" s="21">
        <f ca="1">SLOPE(INDIRECT($G$11):G992,INDIRECT($F$11):F992)</f>
        <v>2.4433937524338502E-4</v>
      </c>
      <c r="D12" s="3"/>
      <c r="E12" s="30" t="s">
        <v>43</v>
      </c>
      <c r="F12" s="31" t="s">
        <v>47</v>
      </c>
    </row>
    <row r="13" spans="1:7" x14ac:dyDescent="0.2">
      <c r="A13" s="12" t="s">
        <v>19</v>
      </c>
      <c r="B13" s="12"/>
      <c r="C13" s="3" t="s">
        <v>14</v>
      </c>
      <c r="D13" s="16"/>
      <c r="E13" s="32" t="s">
        <v>34</v>
      </c>
      <c r="F13" s="33">
        <v>1</v>
      </c>
    </row>
    <row r="14" spans="1:7" x14ac:dyDescent="0.2">
      <c r="A14" s="12"/>
      <c r="B14" s="12"/>
      <c r="C14" s="12"/>
      <c r="D14" s="16"/>
      <c r="E14" s="32" t="s">
        <v>32</v>
      </c>
      <c r="F14" s="34">
        <f ca="1">NOW()+15018.5+$C$9/24</f>
        <v>60525.717602314813</v>
      </c>
    </row>
    <row r="15" spans="1:7" x14ac:dyDescent="0.2">
      <c r="A15" s="14" t="s">
        <v>18</v>
      </c>
      <c r="B15" s="12"/>
      <c r="C15" s="15">
        <f ca="1">(C7+C11)+(C8+C12)*INT(MAX(F21:F3533))</f>
        <v>54987.421000000002</v>
      </c>
      <c r="D15" s="16"/>
      <c r="E15" s="32" t="s">
        <v>35</v>
      </c>
      <c r="F15" s="34">
        <f ca="1">ROUND(2*($F$14-$C$7)/$C$8,0)/2+$F$13</f>
        <v>3149</v>
      </c>
    </row>
    <row r="16" spans="1:7" x14ac:dyDescent="0.2">
      <c r="A16" s="17" t="s">
        <v>4</v>
      </c>
      <c r="B16" s="12"/>
      <c r="C16" s="18">
        <f ca="1">+C8+C12</f>
        <v>9.9768403393752436</v>
      </c>
      <c r="D16" s="16"/>
      <c r="E16" s="32" t="s">
        <v>36</v>
      </c>
      <c r="F16" s="34">
        <f ca="1">ROUND(2*($F$14-$C$15)/$C$16,0)/2+$F$13</f>
        <v>556</v>
      </c>
    </row>
    <row r="17" spans="1:17" ht="13.5" thickBot="1" x14ac:dyDescent="0.25">
      <c r="A17" s="16" t="s">
        <v>29</v>
      </c>
      <c r="B17" s="12"/>
      <c r="C17" s="12">
        <f>COUNT(C21:C2191)</f>
        <v>2</v>
      </c>
      <c r="D17" s="16"/>
      <c r="E17" s="35" t="s">
        <v>44</v>
      </c>
      <c r="F17" s="36">
        <f ca="1">+$C$15+$C$16*$F$16-15018.5-$C$9/24</f>
        <v>45516.440062025977</v>
      </c>
    </row>
    <row r="18" spans="1:17" ht="14.25" thickTop="1" thickBot="1" x14ac:dyDescent="0.25">
      <c r="A18" s="17" t="s">
        <v>5</v>
      </c>
      <c r="B18" s="12"/>
      <c r="C18" s="19">
        <f ca="1">+C15</f>
        <v>54987.421000000002</v>
      </c>
      <c r="D18" s="20">
        <f ca="1">+C16</f>
        <v>9.9768403393752436</v>
      </c>
      <c r="E18" s="38" t="s">
        <v>45</v>
      </c>
      <c r="F18" s="37">
        <f ca="1">+($C$15+$C$16*$F$16)-($C$16/2)-15018.5-$C$9/24</f>
        <v>45511.451641856293</v>
      </c>
    </row>
    <row r="19" spans="1:17" ht="13.5" thickTop="1" x14ac:dyDescent="0.2">
      <c r="A19" s="24" t="s">
        <v>33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48</v>
      </c>
      <c r="J20" s="7" t="s">
        <v>42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29117.473999999998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14098.973999999998</v>
      </c>
    </row>
    <row r="22" spans="1:17" x14ac:dyDescent="0.2">
      <c r="A22" s="26" t="s">
        <v>38</v>
      </c>
      <c r="B22" s="27" t="s">
        <v>39</v>
      </c>
      <c r="C22" s="28">
        <v>54987.421000000002</v>
      </c>
      <c r="D22" s="28">
        <v>0.01</v>
      </c>
      <c r="E22">
        <f>+(C22-C$7)/C$8</f>
        <v>2593.0635058290427</v>
      </c>
      <c r="F22">
        <f>ROUND(2*E22,0)/2</f>
        <v>2593</v>
      </c>
      <c r="G22">
        <f>+C22-(C$7+F22*C$8)</f>
        <v>0.63357200000609737</v>
      </c>
      <c r="I22">
        <f>+G22</f>
        <v>0.63357200000609737</v>
      </c>
      <c r="O22">
        <f ca="1">+C$11+C$12*$F22</f>
        <v>0.63357200000609737</v>
      </c>
      <c r="Q22" s="2">
        <f>+C22-15018.5</f>
        <v>39968.921000000002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2024-08-03T05:13:20Z</dcterms:modified>
</cp:coreProperties>
</file>