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2A79817-E510-4F8A-A9DE-E9C97D2C24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1" i="1" l="1"/>
  <c r="Q30" i="1"/>
  <c r="G18" i="2"/>
  <c r="C18" i="2"/>
  <c r="G14" i="2"/>
  <c r="C14" i="2"/>
  <c r="C7" i="1"/>
  <c r="E31" i="1"/>
  <c r="F31" i="1"/>
  <c r="C8" i="1"/>
  <c r="G17" i="2"/>
  <c r="C17" i="2"/>
  <c r="E17" i="2"/>
  <c r="G16" i="2"/>
  <c r="C16" i="2"/>
  <c r="E16" i="2"/>
  <c r="G15" i="2"/>
  <c r="C15" i="2"/>
  <c r="E15" i="2"/>
  <c r="G13" i="2"/>
  <c r="C13" i="2"/>
  <c r="G12" i="2"/>
  <c r="C12" i="2"/>
  <c r="G11" i="2"/>
  <c r="C11" i="2"/>
  <c r="H18" i="2"/>
  <c r="B18" i="2"/>
  <c r="D18" i="2"/>
  <c r="A18" i="2"/>
  <c r="H14" i="2"/>
  <c r="B14" i="2"/>
  <c r="D14" i="2"/>
  <c r="A14" i="2"/>
  <c r="H17" i="2"/>
  <c r="B17" i="2"/>
  <c r="D17" i="2"/>
  <c r="A17" i="2"/>
  <c r="H16" i="2"/>
  <c r="B16" i="2"/>
  <c r="D16" i="2"/>
  <c r="A16" i="2"/>
  <c r="H15" i="2"/>
  <c r="B15" i="2"/>
  <c r="D15" i="2"/>
  <c r="A15" i="2"/>
  <c r="H13" i="2"/>
  <c r="B13" i="2"/>
  <c r="D13" i="2"/>
  <c r="A13" i="2"/>
  <c r="H12" i="2"/>
  <c r="B12" i="2"/>
  <c r="D12" i="2"/>
  <c r="A12" i="2"/>
  <c r="H11" i="2"/>
  <c r="B11" i="2"/>
  <c r="D11" i="2"/>
  <c r="A11" i="2"/>
  <c r="C9" i="1"/>
  <c r="D9" i="1"/>
  <c r="Q29" i="1"/>
  <c r="Q26" i="1"/>
  <c r="Q27" i="1"/>
  <c r="Q28" i="1"/>
  <c r="Q25" i="1"/>
  <c r="Q24" i="1"/>
  <c r="E21" i="1"/>
  <c r="F21" i="1"/>
  <c r="G21" i="1"/>
  <c r="Q22" i="1"/>
  <c r="F16" i="1"/>
  <c r="C17" i="1"/>
  <c r="Q23" i="1"/>
  <c r="Q21" i="1"/>
  <c r="H21" i="1"/>
  <c r="E18" i="2"/>
  <c r="E12" i="2"/>
  <c r="E13" i="2"/>
  <c r="E14" i="2"/>
  <c r="E23" i="1"/>
  <c r="F23" i="1"/>
  <c r="G23" i="1"/>
  <c r="K23" i="1"/>
  <c r="E24" i="1"/>
  <c r="F24" i="1"/>
  <c r="G22" i="1"/>
  <c r="E26" i="1"/>
  <c r="F26" i="1"/>
  <c r="G26" i="1"/>
  <c r="K26" i="1"/>
  <c r="E22" i="1"/>
  <c r="F22" i="1"/>
  <c r="E28" i="1"/>
  <c r="F28" i="1"/>
  <c r="G28" i="1"/>
  <c r="K28" i="1"/>
  <c r="G27" i="1"/>
  <c r="K27" i="1"/>
  <c r="E25" i="1"/>
  <c r="F25" i="1"/>
  <c r="G25" i="1"/>
  <c r="K25" i="1"/>
  <c r="G31" i="1"/>
  <c r="K31" i="1"/>
  <c r="E29" i="1"/>
  <c r="F29" i="1"/>
  <c r="G29" i="1"/>
  <c r="J29" i="1"/>
  <c r="E27" i="1"/>
  <c r="F27" i="1"/>
  <c r="E30" i="1"/>
  <c r="F30" i="1"/>
  <c r="G30" i="1"/>
  <c r="J30" i="1"/>
  <c r="K22" i="1"/>
  <c r="E11" i="2"/>
  <c r="C12" i="1"/>
  <c r="C11" i="1"/>
  <c r="C15" i="1" l="1"/>
  <c r="O28" i="1"/>
  <c r="O30" i="1"/>
  <c r="O27" i="1"/>
  <c r="O22" i="1"/>
  <c r="O23" i="1"/>
  <c r="O21" i="1"/>
  <c r="O26" i="1"/>
  <c r="O25" i="1"/>
  <c r="O31" i="1"/>
  <c r="O24" i="1"/>
  <c r="O29" i="1"/>
  <c r="C16" i="1"/>
  <c r="D18" i="1" s="1"/>
  <c r="F17" i="1"/>
  <c r="F18" i="1" l="1"/>
  <c r="F19" i="1"/>
  <c r="C18" i="1"/>
</calcChain>
</file>

<file path=xl/sharedStrings.xml><?xml version="1.0" encoding="utf-8"?>
<sst xmlns="http://schemas.openxmlformats.org/spreadsheetml/2006/main" count="148" uniqueCount="106">
  <si>
    <t>0.0017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</si>
  <si>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</si>
  <si>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</si>
  <si>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</si>
  <si>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</si>
  <si>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</si>
  <si>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</si>
  <si>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</si>
  <si>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</si>
  <si>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</si>
  <si>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</si>
  <si>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</si>
  <si>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</si>
  <si>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</si>
  <si>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</si>
  <si>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</si>
  <si>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</si>
  <si>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</si>
  <si>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</si>
  <si>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</si>
  <si>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</si>
  <si>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</si>
  <si>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</si>
  <si>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</si>
  <si>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</si>
  <si>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</si>
  <si>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</si>
  <si>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</si>
  <si>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</si>
  <si>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</si>
  <si>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</si>
  <si>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</si>
  <si>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</si>
  <si>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</si>
  <si>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</si>
  <si>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</si>
  <si>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</si>
  <si>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IM Cnc / GSC 1950-1411</t>
  </si>
  <si>
    <t>IBVS 5945</t>
  </si>
  <si>
    <t>I</t>
  </si>
  <si>
    <t>EA</t>
  </si>
  <si>
    <t>Add cycle</t>
  </si>
  <si>
    <t>Old Cycle</t>
  </si>
  <si>
    <t>IBVS 5894</t>
  </si>
  <si>
    <t>II</t>
  </si>
  <si>
    <t>IBVS 5959</t>
  </si>
  <si>
    <t>IBVS 6029</t>
  </si>
  <si>
    <t>IBVS 6063</t>
  </si>
  <si>
    <t>p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</si>
  <si>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</si>
  <si>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</si>
  <si>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</si>
  <si>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</si>
  <si>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</si>
  <si>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</si>
  <si>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</si>
  <si>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</si>
  <si>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</si>
  <si>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</si>
  <si>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</si>
  <si>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</si>
  <si>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2455275.4354 </t>
  </si>
  <si>
    <t> 19.03.2010 22:26 </t>
  </si>
  <si>
    <t> -0.0028 </t>
  </si>
  <si>
    <t>C </t>
  </si>
  <si>
    <t>-I</t>
  </si>
  <si>
    <t> F.Agerer </t>
  </si>
  <si>
    <t>BAVM 214 </t>
  </si>
  <si>
    <t>2455290.7298 </t>
  </si>
  <si>
    <t> 04.04.2010 05:30 </t>
  </si>
  <si>
    <t>1566</t>
  </si>
  <si>
    <t> -0.0119 </t>
  </si>
  <si>
    <t> R.Diethelm </t>
  </si>
  <si>
    <t>IBVS 5945 </t>
  </si>
  <si>
    <t>2456014.6911 </t>
  </si>
  <si>
    <t> 28.03.2012 04:35 </t>
  </si>
  <si>
    <t>1873.5</t>
  </si>
  <si>
    <t> -0.0256 </t>
  </si>
  <si>
    <t>IBVS 6029 </t>
  </si>
  <si>
    <t>2456366.6633 </t>
  </si>
  <si>
    <t> 15.03.2013 03:55 </t>
  </si>
  <si>
    <t>2023</t>
  </si>
  <si>
    <t> -0.0347 </t>
  </si>
  <si>
    <t>B</t>
  </si>
  <si>
    <t>IBVS 6063 </t>
  </si>
  <si>
    <t>2456366.6651 </t>
  </si>
  <si>
    <t> 15.03.2013 03:57 </t>
  </si>
  <si>
    <t> -0.0329 </t>
  </si>
  <si>
    <t>2456366.6666 </t>
  </si>
  <si>
    <t> 15.03.2013 03:59 </t>
  </si>
  <si>
    <t> -0.0314 </t>
  </si>
  <si>
    <t>R</t>
  </si>
  <si>
    <t>2456743.3582 </t>
  </si>
  <si>
    <t> 26.03.2014 20:35 </t>
  </si>
  <si>
    <t>2183</t>
  </si>
  <si>
    <t> -0.0422 </t>
  </si>
  <si>
    <t>BAVM 238 </t>
  </si>
  <si>
    <t>2457089.4472 </t>
  </si>
  <si>
    <t> 07.03.2015 22:43 </t>
  </si>
  <si>
    <t>2330</t>
  </si>
  <si>
    <t> -0.0485 </t>
  </si>
  <si>
    <t>o</t>
  </si>
  <si>
    <t> W.Moschner &amp; P.Frank </t>
  </si>
  <si>
    <t>BAVM 241 (=IBVS 6157) </t>
  </si>
  <si>
    <t>BAD?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</si>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</sst>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8" xfId="0" applyFont="1" applyBorder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E-4742-BC9F-9185257B14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BE-4742-BC9F-9185257B14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8">
                  <c:v>-4.2170000000623986E-2</c:v>
                </c:pt>
                <c:pt idx="9">
                  <c:v>-4.8499999997147825E-2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BE-4742-BC9F-9185257B14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-1.0155000003578607E-2</c:v>
                </c:pt>
                <c:pt idx="2">
                  <c:v>-1.1939999996684492E-2</c:v>
                </c:pt>
                <c:pt idx="4">
                  <c:v>-2.5565000003552996E-2</c:v>
                </c:pt>
                <c:pt idx="5">
                  <c:v>-3.4630000001925509E-2</c:v>
                </c:pt>
                <c:pt idx="6">
                  <c:v>-3.2820000000356231E-2</c:v>
                </c:pt>
                <c:pt idx="7">
                  <c:v>-3.1309999998484273E-2</c:v>
                </c:pt>
                <c:pt idx="10">
                  <c:v>-5.0020000002405141E-2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BE-4742-BC9F-9185257B14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BE-4742-BC9F-9185257B14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BE-4742-BC9F-9185257B14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1.7000000000000001E-4</c:v>
                  </c:pt>
                  <c:pt idx="6">
                    <c:v>2.5000000000000001E-4</c:v>
                  </c:pt>
                  <c:pt idx="7">
                    <c:v>5.9000000000000003E-4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BE-4742-BC9F-9185257B14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4.8970796798188797E-2</c:v>
                </c:pt>
                <c:pt idx="1">
                  <c:v>-7.0315507610664574E-3</c:v>
                </c:pt>
                <c:pt idx="2">
                  <c:v>-1.4833987689111115E-2</c:v>
                </c:pt>
                <c:pt idx="3">
                  <c:v>-1.4569153015313245E-2</c:v>
                </c:pt>
                <c:pt idx="4">
                  <c:v>-2.7362704949548351E-2</c:v>
                </c:pt>
                <c:pt idx="5">
                  <c:v>-3.3453902446899143E-2</c:v>
                </c:pt>
                <c:pt idx="6">
                  <c:v>-3.3453902446899143E-2</c:v>
                </c:pt>
                <c:pt idx="7">
                  <c:v>-3.3453902446899143E-2</c:v>
                </c:pt>
                <c:pt idx="8">
                  <c:v>-3.9972909801923397E-2</c:v>
                </c:pt>
                <c:pt idx="9">
                  <c:v>-4.5962247809351937E-2</c:v>
                </c:pt>
                <c:pt idx="10">
                  <c:v>-5.1584891653060357E-2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BE-4742-BC9F-9185257B149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1374.5</c:v>
                </c:pt>
                <c:pt idx="2">
                  <c:v>1566</c:v>
                </c:pt>
                <c:pt idx="3">
                  <c:v>1559.5</c:v>
                </c:pt>
                <c:pt idx="4">
                  <c:v>1873.5</c:v>
                </c:pt>
                <c:pt idx="5">
                  <c:v>2023</c:v>
                </c:pt>
                <c:pt idx="6">
                  <c:v>2023</c:v>
                </c:pt>
                <c:pt idx="7">
                  <c:v>2023</c:v>
                </c:pt>
                <c:pt idx="8">
                  <c:v>2183</c:v>
                </c:pt>
                <c:pt idx="9">
                  <c:v>2330</c:v>
                </c:pt>
                <c:pt idx="10">
                  <c:v>2468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-2.8049999964423478E-3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BE-4742-BC9F-9185257B1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56512"/>
        <c:axId val="1"/>
      </c:scatterChart>
      <c:valAx>
        <c:axId val="88585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85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9525</xdr:rowOff>
    </xdr:from>
    <xdr:to>
      <xdr:col>17</xdr:col>
      <xdr:colOff>209550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961CFD-CE3A-443C-A80F-DC9439F88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945" TargetMode="External"/><Relationship Id="rId1" Type="http://schemas.openxmlformats.org/officeDocument/2006/relationships/hyperlink" Target="http://www.bav-astro.de/sfs/BAVM_link.php?BAVMnr=214" TargetMode="External"/><Relationship Id="rId6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6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26</v>
      </c>
      <c r="B2" t="s">
        <v>40</v>
      </c>
      <c r="C2" s="3"/>
      <c r="D2" s="3"/>
    </row>
    <row r="3" spans="1:6" ht="13.5" thickBot="1"/>
    <row r="4" spans="1:6" ht="14.25" thickTop="1" thickBot="1">
      <c r="A4" s="5" t="s">
        <v>2</v>
      </c>
      <c r="C4" s="8">
        <v>51603.767</v>
      </c>
      <c r="D4" s="9">
        <v>2.35439</v>
      </c>
    </row>
    <row r="5" spans="1:6" ht="13.5" thickTop="1">
      <c r="A5" s="11" t="s">
        <v>31</v>
      </c>
      <c r="B5" s="12"/>
      <c r="C5" s="13">
        <v>-9.5</v>
      </c>
      <c r="D5" s="12" t="s">
        <v>32</v>
      </c>
    </row>
    <row r="6" spans="1:6">
      <c r="A6" s="5" t="s">
        <v>3</v>
      </c>
    </row>
    <row r="7" spans="1:6">
      <c r="A7" t="s">
        <v>4</v>
      </c>
      <c r="C7">
        <f>+C4</f>
        <v>51603.767</v>
      </c>
    </row>
    <row r="8" spans="1:6">
      <c r="A8" t="s">
        <v>5</v>
      </c>
      <c r="C8">
        <f>+D4</f>
        <v>2.35439</v>
      </c>
    </row>
    <row r="9" spans="1:6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22</v>
      </c>
      <c r="D10" s="4" t="s">
        <v>23</v>
      </c>
      <c r="E10" s="12"/>
    </row>
    <row r="11" spans="1:6">
      <c r="A11" s="12" t="s">
        <v>18</v>
      </c>
      <c r="B11" s="12"/>
      <c r="C11" s="23">
        <f ca="1">INTERCEPT(INDIRECT($D$9):G988,INDIRECT($C$9):F988)</f>
        <v>4.8970796798188797E-2</v>
      </c>
      <c r="D11" s="3"/>
      <c r="E11" s="12"/>
    </row>
    <row r="12" spans="1:6">
      <c r="A12" s="12" t="s">
        <v>19</v>
      </c>
      <c r="B12" s="12"/>
      <c r="C12" s="23">
        <f ca="1">SLOPE(INDIRECT($D$9):G988,INDIRECT($C$9):F988)</f>
        <v>-4.0743795968901602E-5</v>
      </c>
      <c r="D12" s="3"/>
      <c r="E12" s="12"/>
    </row>
    <row r="13" spans="1:6">
      <c r="A13" s="12" t="s">
        <v>21</v>
      </c>
      <c r="B13" s="12"/>
      <c r="C13" s="3" t="s">
        <v>16</v>
      </c>
    </row>
    <row r="14" spans="1:6">
      <c r="A14" s="12"/>
      <c r="B14" s="12"/>
      <c r="C14" s="12"/>
    </row>
    <row r="15" spans="1:6">
      <c r="A15" s="14" t="s">
        <v>20</v>
      </c>
      <c r="B15" s="12"/>
      <c r="C15" s="15">
        <f ca="1">(C7+C11)+(C8+C12)*INT(MAX(F21:F3529))</f>
        <v>57414.349935108352</v>
      </c>
      <c r="E15" s="16" t="s">
        <v>41</v>
      </c>
      <c r="F15" s="13">
        <v>1</v>
      </c>
    </row>
    <row r="16" spans="1:6">
      <c r="A16" s="18" t="s">
        <v>6</v>
      </c>
      <c r="B16" s="12"/>
      <c r="C16" s="19">
        <f ca="1">+C8+C12</f>
        <v>2.3543492562040309</v>
      </c>
      <c r="E16" s="16" t="s">
        <v>33</v>
      </c>
      <c r="F16" s="17">
        <f ca="1">NOW()+15018.5+$C$5/24</f>
        <v>60338.699725347222</v>
      </c>
    </row>
    <row r="17" spans="1:21" ht="13.5" thickBot="1">
      <c r="A17" s="16" t="s">
        <v>30</v>
      </c>
      <c r="B17" s="12"/>
      <c r="C17" s="12">
        <f>COUNT(C21:C2187)</f>
        <v>11</v>
      </c>
      <c r="E17" s="16" t="s">
        <v>42</v>
      </c>
      <c r="F17" s="17">
        <f ca="1">ROUND(2*(F16-$C$7)/$C$8,0)/2+F15</f>
        <v>3711</v>
      </c>
    </row>
    <row r="18" spans="1:21" ht="14.25" thickTop="1" thickBot="1">
      <c r="A18" s="18" t="s">
        <v>7</v>
      </c>
      <c r="B18" s="12"/>
      <c r="C18" s="21">
        <f ca="1">+C15</f>
        <v>57414.349935108352</v>
      </c>
      <c r="D18" s="22">
        <f ca="1">+C16</f>
        <v>2.3543492562040309</v>
      </c>
      <c r="E18" s="16" t="s">
        <v>34</v>
      </c>
      <c r="F18" s="25">
        <f ca="1">ROUND(2*(F16-$C$15)/$C$16,0)/2+F15</f>
        <v>1243</v>
      </c>
    </row>
    <row r="19" spans="1:21" ht="13.5" thickTop="1">
      <c r="E19" s="16" t="s">
        <v>35</v>
      </c>
      <c r="F19" s="20">
        <f ca="1">+$C$15+$C$16*F18-15018.5-$C$5/24</f>
        <v>45322.701893903301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50" t="s">
        <v>104</v>
      </c>
    </row>
    <row r="21" spans="1:21">
      <c r="A21" s="31" t="s">
        <v>14</v>
      </c>
      <c r="B21" s="31"/>
      <c r="C21" s="32">
        <v>51603.767</v>
      </c>
      <c r="D21" s="32" t="s">
        <v>16</v>
      </c>
      <c r="E21">
        <f t="shared" ref="E21:E28" si="0">+(C21-C$7)/C$8</f>
        <v>0</v>
      </c>
      <c r="F21">
        <f t="shared" ref="F21:F31" si="1">ROUND(2*E21,0)/2</f>
        <v>0</v>
      </c>
      <c r="G21">
        <f>+C21-(C$7+F21*C$8)</f>
        <v>0</v>
      </c>
      <c r="H21">
        <f>+G21</f>
        <v>0</v>
      </c>
      <c r="O21">
        <f t="shared" ref="O21:O28" ca="1" si="2">+C$11+C$12*$F21</f>
        <v>4.8970796798188797E-2</v>
      </c>
      <c r="Q21" s="2">
        <f t="shared" ref="Q21:Q28" si="3">+C21-15018.5</f>
        <v>36585.267</v>
      </c>
    </row>
    <row r="22" spans="1:21">
      <c r="A22" s="33" t="s">
        <v>43</v>
      </c>
      <c r="B22" s="34" t="s">
        <v>44</v>
      </c>
      <c r="C22" s="33">
        <v>54839.865899999997</v>
      </c>
      <c r="D22" s="33">
        <v>1E-3</v>
      </c>
      <c r="E22">
        <f t="shared" si="0"/>
        <v>1374.4956867808635</v>
      </c>
      <c r="F22">
        <f t="shared" si="1"/>
        <v>1374.5</v>
      </c>
      <c r="G22">
        <f>+C22-(C$7+F22*C$8)</f>
        <v>-1.0155000003578607E-2</v>
      </c>
      <c r="K22">
        <f>+G22</f>
        <v>-1.0155000003578607E-2</v>
      </c>
      <c r="O22">
        <f t="shared" ca="1" si="2"/>
        <v>-7.0315507610664574E-3</v>
      </c>
      <c r="Q22" s="2">
        <f t="shared" si="3"/>
        <v>39821.365899999997</v>
      </c>
    </row>
    <row r="23" spans="1:21">
      <c r="A23" s="28" t="s">
        <v>38</v>
      </c>
      <c r="B23" s="29" t="s">
        <v>39</v>
      </c>
      <c r="C23" s="30">
        <v>55290.729800000001</v>
      </c>
      <c r="D23" s="30">
        <v>4.0000000000000002E-4</v>
      </c>
      <c r="E23">
        <f t="shared" si="0"/>
        <v>1565.9949286227011</v>
      </c>
      <c r="F23">
        <f t="shared" si="1"/>
        <v>1566</v>
      </c>
      <c r="G23">
        <f>+C23-(C$7+F23*C$8)</f>
        <v>-1.1939999996684492E-2</v>
      </c>
      <c r="K23">
        <f>+G23</f>
        <v>-1.1939999996684492E-2</v>
      </c>
      <c r="O23">
        <f t="shared" ca="1" si="2"/>
        <v>-1.4833987689111115E-2</v>
      </c>
      <c r="Q23" s="2">
        <f t="shared" si="3"/>
        <v>40272.229800000001</v>
      </c>
    </row>
    <row r="24" spans="1:21">
      <c r="A24" s="33" t="s">
        <v>45</v>
      </c>
      <c r="B24" s="34" t="s">
        <v>44</v>
      </c>
      <c r="C24" s="33">
        <v>55275.435400000002</v>
      </c>
      <c r="D24" s="33">
        <v>1E-4</v>
      </c>
      <c r="E24">
        <f t="shared" si="0"/>
        <v>1559.4988086086003</v>
      </c>
      <c r="F24">
        <f t="shared" si="1"/>
        <v>1559.5</v>
      </c>
      <c r="O24">
        <f t="shared" ca="1" si="2"/>
        <v>-1.4569153015313245E-2</v>
      </c>
      <c r="Q24" s="2">
        <f t="shared" si="3"/>
        <v>40256.935400000002</v>
      </c>
      <c r="U24" s="25">
        <v>-2.8049999964423478E-3</v>
      </c>
    </row>
    <row r="25" spans="1:21">
      <c r="A25" s="35" t="s">
        <v>46</v>
      </c>
      <c r="B25" s="36" t="s">
        <v>44</v>
      </c>
      <c r="C25" s="35">
        <v>56014.691099999996</v>
      </c>
      <c r="D25" s="35">
        <v>4.0000000000000002E-4</v>
      </c>
      <c r="E25">
        <f t="shared" si="0"/>
        <v>1873.4891415610823</v>
      </c>
      <c r="F25">
        <f t="shared" si="1"/>
        <v>1873.5</v>
      </c>
      <c r="G25">
        <f t="shared" ref="G25:G30" si="4">+C25-(C$7+F25*C$8)</f>
        <v>-2.5565000003552996E-2</v>
      </c>
      <c r="K25">
        <f>+G25</f>
        <v>-2.5565000003552996E-2</v>
      </c>
      <c r="O25">
        <f t="shared" ca="1" si="2"/>
        <v>-2.7362704949548351E-2</v>
      </c>
      <c r="Q25" s="2">
        <f t="shared" si="3"/>
        <v>40996.191099999996</v>
      </c>
    </row>
    <row r="26" spans="1:21">
      <c r="A26" s="51" t="s">
        <v>47</v>
      </c>
      <c r="B26" s="52" t="s">
        <v>48</v>
      </c>
      <c r="C26" s="32">
        <v>56366.663339999999</v>
      </c>
      <c r="D26" s="32">
        <v>1.7000000000000001E-4</v>
      </c>
      <c r="E26">
        <f t="shared" si="0"/>
        <v>2022.9852913068776</v>
      </c>
      <c r="F26">
        <f t="shared" si="1"/>
        <v>2023</v>
      </c>
      <c r="G26">
        <f t="shared" si="4"/>
        <v>-3.4630000001925509E-2</v>
      </c>
      <c r="K26">
        <f>+G26</f>
        <v>-3.4630000001925509E-2</v>
      </c>
      <c r="O26">
        <f t="shared" ca="1" si="2"/>
        <v>-3.3453902446899143E-2</v>
      </c>
      <c r="Q26" s="2">
        <f t="shared" si="3"/>
        <v>41348.163339999999</v>
      </c>
    </row>
    <row r="27" spans="1:21">
      <c r="A27" s="51" t="s">
        <v>47</v>
      </c>
      <c r="B27" s="52" t="s">
        <v>48</v>
      </c>
      <c r="C27" s="32">
        <v>56366.665150000001</v>
      </c>
      <c r="D27" s="32">
        <v>2.5000000000000001E-4</v>
      </c>
      <c r="E27">
        <f t="shared" si="0"/>
        <v>2022.9860600835041</v>
      </c>
      <c r="F27">
        <f t="shared" si="1"/>
        <v>2023</v>
      </c>
      <c r="G27">
        <f t="shared" si="4"/>
        <v>-3.2820000000356231E-2</v>
      </c>
      <c r="K27">
        <f>+G27</f>
        <v>-3.2820000000356231E-2</v>
      </c>
      <c r="O27">
        <f t="shared" ca="1" si="2"/>
        <v>-3.3453902446899143E-2</v>
      </c>
      <c r="Q27" s="2">
        <f t="shared" si="3"/>
        <v>41348.165150000001</v>
      </c>
    </row>
    <row r="28" spans="1:21">
      <c r="A28" s="51" t="s">
        <v>47</v>
      </c>
      <c r="B28" s="52" t="s">
        <v>48</v>
      </c>
      <c r="C28" s="32">
        <v>56366.666660000003</v>
      </c>
      <c r="D28" s="32">
        <v>5.9000000000000003E-4</v>
      </c>
      <c r="E28">
        <f t="shared" si="0"/>
        <v>2022.9867014385904</v>
      </c>
      <c r="F28">
        <f t="shared" si="1"/>
        <v>2023</v>
      </c>
      <c r="G28">
        <f t="shared" si="4"/>
        <v>-3.1309999998484273E-2</v>
      </c>
      <c r="K28">
        <f>+G28</f>
        <v>-3.1309999998484273E-2</v>
      </c>
      <c r="O28">
        <f t="shared" ca="1" si="2"/>
        <v>-3.3453902446899143E-2</v>
      </c>
      <c r="Q28" s="2">
        <f t="shared" si="3"/>
        <v>41348.166660000003</v>
      </c>
    </row>
    <row r="29" spans="1:21">
      <c r="A29" s="53" t="s">
        <v>49</v>
      </c>
      <c r="B29" s="54" t="s">
        <v>39</v>
      </c>
      <c r="C29" s="53">
        <v>56743.358200000002</v>
      </c>
      <c r="D29" s="53">
        <v>2E-3</v>
      </c>
      <c r="E29">
        <f>+(C29-C$7)/C$8</f>
        <v>2182.9820887788355</v>
      </c>
      <c r="F29">
        <f t="shared" si="1"/>
        <v>2183</v>
      </c>
      <c r="G29">
        <f t="shared" si="4"/>
        <v>-4.2170000000623986E-2</v>
      </c>
      <c r="J29">
        <f>+G29</f>
        <v>-4.2170000000623986E-2</v>
      </c>
      <c r="O29">
        <f ca="1">+C$11+C$12*$F29</f>
        <v>-3.9972909801923397E-2</v>
      </c>
      <c r="Q29" s="2">
        <f>+C29-15018.5</f>
        <v>41724.858200000002</v>
      </c>
    </row>
    <row r="30" spans="1:21">
      <c r="A30" s="32" t="s">
        <v>105</v>
      </c>
      <c r="B30" s="52"/>
      <c r="C30" s="32">
        <v>57089.447200000002</v>
      </c>
      <c r="D30" s="32">
        <v>6.9999999999999999E-4</v>
      </c>
      <c r="E30">
        <f>+(C30-C$7)/C$8</f>
        <v>2329.9794001843375</v>
      </c>
      <c r="F30">
        <f t="shared" si="1"/>
        <v>2330</v>
      </c>
      <c r="G30">
        <f t="shared" si="4"/>
        <v>-4.8499999997147825E-2</v>
      </c>
      <c r="J30">
        <f>+G30</f>
        <v>-4.8499999997147825E-2</v>
      </c>
      <c r="O30">
        <f ca="1">+C$11+C$12*$F30</f>
        <v>-4.5962247809351937E-2</v>
      </c>
      <c r="Q30" s="2">
        <f>+C30-15018.5</f>
        <v>42070.947200000002</v>
      </c>
    </row>
    <row r="31" spans="1:21">
      <c r="A31" s="55" t="s">
        <v>1</v>
      </c>
      <c r="B31" s="56" t="s">
        <v>39</v>
      </c>
      <c r="C31" s="57">
        <v>57414.351499999997</v>
      </c>
      <c r="D31" s="57" t="s">
        <v>0</v>
      </c>
      <c r="E31">
        <f>+(C31-C$7)/C$8</f>
        <v>2467.9787545818649</v>
      </c>
      <c r="F31">
        <f t="shared" si="1"/>
        <v>2468</v>
      </c>
      <c r="G31">
        <f>+C31-(C$7+F31*C$8)</f>
        <v>-5.0020000002405141E-2</v>
      </c>
      <c r="K31">
        <f>+G31</f>
        <v>-5.0020000002405141E-2</v>
      </c>
      <c r="O31">
        <f ca="1">+C$11+C$12*$F31</f>
        <v>-5.1584891653060357E-2</v>
      </c>
      <c r="Q31" s="2">
        <f>+C31-15018.5</f>
        <v>42395.851499999997</v>
      </c>
    </row>
    <row r="32" spans="1:21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</sheetData>
  <phoneticPr fontId="8" type="noConversion"/>
  <hyperlinks>
    <hyperlink ref="H1427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5"/>
  <sheetViews>
    <sheetView workbookViewId="0">
      <selection activeCell="A15" sqref="A15:D18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50</v>
      </c>
      <c r="I1" s="38" t="s">
        <v>51</v>
      </c>
      <c r="J1" s="39" t="s">
        <v>52</v>
      </c>
    </row>
    <row r="2" spans="1:16">
      <c r="I2" s="40" t="s">
        <v>53</v>
      </c>
      <c r="J2" s="41" t="s">
        <v>54</v>
      </c>
    </row>
    <row r="3" spans="1:16">
      <c r="A3" s="42" t="s">
        <v>55</v>
      </c>
      <c r="I3" s="40" t="s">
        <v>56</v>
      </c>
      <c r="J3" s="41" t="s">
        <v>57</v>
      </c>
    </row>
    <row r="4" spans="1:16">
      <c r="I4" s="40" t="s">
        <v>58</v>
      </c>
      <c r="J4" s="41" t="s">
        <v>57</v>
      </c>
    </row>
    <row r="5" spans="1:16" ht="13.5" thickBot="1">
      <c r="I5" s="43" t="s">
        <v>59</v>
      </c>
      <c r="J5" s="44" t="s">
        <v>60</v>
      </c>
    </row>
    <row r="10" spans="1:16" ht="13.5" thickBot="1"/>
    <row r="11" spans="1:16" ht="12.75" customHeight="1" thickBot="1">
      <c r="A11" s="10" t="str">
        <f t="shared" ref="A11:A18" si="0">P11</f>
        <v>BAVM 214 </v>
      </c>
      <c r="B11" s="3" t="str">
        <f t="shared" ref="B11:B18" si="1">IF(H11=INT(H11),"I","II")</f>
        <v>II</v>
      </c>
      <c r="C11" s="10">
        <f t="shared" ref="C11:C18" si="2">1*G11</f>
        <v>55275.435400000002</v>
      </c>
      <c r="D11" s="12" t="str">
        <f t="shared" ref="D11:D18" si="3">VLOOKUP(F11,I$1:J$5,2,FALSE)</f>
        <v>vis</v>
      </c>
      <c r="E11" s="45">
        <f>VLOOKUP(C11,Active!C$21:E$969,3,FALSE)</f>
        <v>1559.4988086086003</v>
      </c>
      <c r="F11" s="3" t="s">
        <v>59</v>
      </c>
      <c r="G11" s="12" t="str">
        <f t="shared" ref="G11:G18" si="4">MID(I11,3,LEN(I11)-3)</f>
        <v>55275.4354</v>
      </c>
      <c r="H11" s="10">
        <f t="shared" ref="H11:H18" si="5">1*K11</f>
        <v>1559.5</v>
      </c>
      <c r="I11" s="46" t="s">
        <v>61</v>
      </c>
      <c r="J11" s="47" t="s">
        <v>62</v>
      </c>
      <c r="K11" s="46">
        <v>1559.5</v>
      </c>
      <c r="L11" s="46" t="s">
        <v>63</v>
      </c>
      <c r="M11" s="47" t="s">
        <v>64</v>
      </c>
      <c r="N11" s="47" t="s">
        <v>65</v>
      </c>
      <c r="O11" s="48" t="s">
        <v>66</v>
      </c>
      <c r="P11" s="49" t="s">
        <v>67</v>
      </c>
    </row>
    <row r="12" spans="1:16" ht="12.75" customHeight="1" thickBot="1">
      <c r="A12" s="10" t="str">
        <f t="shared" si="0"/>
        <v>IBVS 5945 </v>
      </c>
      <c r="B12" s="3" t="str">
        <f t="shared" si="1"/>
        <v>I</v>
      </c>
      <c r="C12" s="10">
        <f t="shared" si="2"/>
        <v>55290.729800000001</v>
      </c>
      <c r="D12" s="12" t="str">
        <f t="shared" si="3"/>
        <v>vis</v>
      </c>
      <c r="E12" s="45">
        <f>VLOOKUP(C12,Active!C$21:E$969,3,FALSE)</f>
        <v>1565.9949286227011</v>
      </c>
      <c r="F12" s="3" t="s">
        <v>59</v>
      </c>
      <c r="G12" s="12" t="str">
        <f t="shared" si="4"/>
        <v>55290.7298</v>
      </c>
      <c r="H12" s="10">
        <f t="shared" si="5"/>
        <v>1566</v>
      </c>
      <c r="I12" s="46" t="s">
        <v>68</v>
      </c>
      <c r="J12" s="47" t="s">
        <v>69</v>
      </c>
      <c r="K12" s="46" t="s">
        <v>70</v>
      </c>
      <c r="L12" s="46" t="s">
        <v>71</v>
      </c>
      <c r="M12" s="47" t="s">
        <v>64</v>
      </c>
      <c r="N12" s="47" t="s">
        <v>59</v>
      </c>
      <c r="O12" s="48" t="s">
        <v>72</v>
      </c>
      <c r="P12" s="49" t="s">
        <v>73</v>
      </c>
    </row>
    <row r="13" spans="1:16" ht="12.75" customHeight="1" thickBot="1">
      <c r="A13" s="10" t="str">
        <f t="shared" si="0"/>
        <v>IBVS 6029 </v>
      </c>
      <c r="B13" s="3" t="str">
        <f t="shared" si="1"/>
        <v>II</v>
      </c>
      <c r="C13" s="10">
        <f t="shared" si="2"/>
        <v>56014.691099999996</v>
      </c>
      <c r="D13" s="12" t="str">
        <f t="shared" si="3"/>
        <v>vis</v>
      </c>
      <c r="E13" s="45">
        <f>VLOOKUP(C13,Active!C$21:E$969,3,FALSE)</f>
        <v>1873.4891415610823</v>
      </c>
      <c r="F13" s="3" t="s">
        <v>59</v>
      </c>
      <c r="G13" s="12" t="str">
        <f t="shared" si="4"/>
        <v>56014.6911</v>
      </c>
      <c r="H13" s="10">
        <f t="shared" si="5"/>
        <v>1873.5</v>
      </c>
      <c r="I13" s="46" t="s">
        <v>74</v>
      </c>
      <c r="J13" s="47" t="s">
        <v>75</v>
      </c>
      <c r="K13" s="46" t="s">
        <v>76</v>
      </c>
      <c r="L13" s="46" t="s">
        <v>77</v>
      </c>
      <c r="M13" s="47" t="s">
        <v>64</v>
      </c>
      <c r="N13" s="47" t="s">
        <v>59</v>
      </c>
      <c r="O13" s="48" t="s">
        <v>72</v>
      </c>
      <c r="P13" s="49" t="s">
        <v>78</v>
      </c>
    </row>
    <row r="14" spans="1:16" ht="12.75" customHeight="1" thickBot="1">
      <c r="A14" s="10" t="str">
        <f t="shared" si="0"/>
        <v>BAVM 238 </v>
      </c>
      <c r="B14" s="3" t="str">
        <f t="shared" si="1"/>
        <v>I</v>
      </c>
      <c r="C14" s="10">
        <f t="shared" si="2"/>
        <v>56743.358200000002</v>
      </c>
      <c r="D14" s="12" t="str">
        <f t="shared" si="3"/>
        <v>vis</v>
      </c>
      <c r="E14" s="45">
        <f>VLOOKUP(C14,Active!C$21:E$969,3,FALSE)</f>
        <v>2182.9820887788355</v>
      </c>
      <c r="F14" s="3" t="s">
        <v>59</v>
      </c>
      <c r="G14" s="12" t="str">
        <f t="shared" si="4"/>
        <v>56743.3582</v>
      </c>
      <c r="H14" s="10">
        <f t="shared" si="5"/>
        <v>2183</v>
      </c>
      <c r="I14" s="46" t="s">
        <v>92</v>
      </c>
      <c r="J14" s="47" t="s">
        <v>93</v>
      </c>
      <c r="K14" s="46" t="s">
        <v>94</v>
      </c>
      <c r="L14" s="46" t="s">
        <v>95</v>
      </c>
      <c r="M14" s="47" t="s">
        <v>64</v>
      </c>
      <c r="N14" s="47" t="s">
        <v>65</v>
      </c>
      <c r="O14" s="48" t="s">
        <v>66</v>
      </c>
      <c r="P14" s="49" t="s">
        <v>96</v>
      </c>
    </row>
    <row r="15" spans="1:16" ht="12.75" customHeight="1" thickBot="1">
      <c r="A15" s="10" t="str">
        <f t="shared" si="0"/>
        <v>IBVS 6063 </v>
      </c>
      <c r="B15" s="3" t="str">
        <f t="shared" si="1"/>
        <v>I</v>
      </c>
      <c r="C15" s="10">
        <f t="shared" si="2"/>
        <v>56366.6633</v>
      </c>
      <c r="D15" s="12" t="str">
        <f t="shared" si="3"/>
        <v>vis</v>
      </c>
      <c r="E15" s="45" t="e">
        <f>VLOOKUP(C15,Active!C$21:E$969,3,FALSE)</f>
        <v>#N/A</v>
      </c>
      <c r="F15" s="3" t="s">
        <v>59</v>
      </c>
      <c r="G15" s="12" t="str">
        <f t="shared" si="4"/>
        <v>56366.6633</v>
      </c>
      <c r="H15" s="10">
        <f t="shared" si="5"/>
        <v>2023</v>
      </c>
      <c r="I15" s="46" t="s">
        <v>79</v>
      </c>
      <c r="J15" s="47" t="s">
        <v>80</v>
      </c>
      <c r="K15" s="46" t="s">
        <v>81</v>
      </c>
      <c r="L15" s="46" t="s">
        <v>82</v>
      </c>
      <c r="M15" s="47" t="s">
        <v>64</v>
      </c>
      <c r="N15" s="47" t="s">
        <v>83</v>
      </c>
      <c r="O15" s="48" t="s">
        <v>72</v>
      </c>
      <c r="P15" s="49" t="s">
        <v>84</v>
      </c>
    </row>
    <row r="16" spans="1:16" ht="12.75" customHeight="1" thickBot="1">
      <c r="A16" s="10" t="str">
        <f t="shared" si="0"/>
        <v>IBVS 6063 </v>
      </c>
      <c r="B16" s="3" t="str">
        <f t="shared" si="1"/>
        <v>I</v>
      </c>
      <c r="C16" s="10">
        <f t="shared" si="2"/>
        <v>56366.665099999998</v>
      </c>
      <c r="D16" s="12" t="str">
        <f t="shared" si="3"/>
        <v>vis</v>
      </c>
      <c r="E16" s="45" t="e">
        <f>VLOOKUP(C16,Active!C$21:E$969,3,FALSE)</f>
        <v>#N/A</v>
      </c>
      <c r="F16" s="3" t="s">
        <v>59</v>
      </c>
      <c r="G16" s="12" t="str">
        <f t="shared" si="4"/>
        <v>56366.6651</v>
      </c>
      <c r="H16" s="10">
        <f t="shared" si="5"/>
        <v>2023</v>
      </c>
      <c r="I16" s="46" t="s">
        <v>85</v>
      </c>
      <c r="J16" s="47" t="s">
        <v>86</v>
      </c>
      <c r="K16" s="46" t="s">
        <v>81</v>
      </c>
      <c r="L16" s="46" t="s">
        <v>87</v>
      </c>
      <c r="M16" s="47" t="s">
        <v>64</v>
      </c>
      <c r="N16" s="47" t="s">
        <v>59</v>
      </c>
      <c r="O16" s="48" t="s">
        <v>72</v>
      </c>
      <c r="P16" s="49" t="s">
        <v>84</v>
      </c>
    </row>
    <row r="17" spans="1:16" ht="12.75" customHeight="1" thickBot="1">
      <c r="A17" s="10" t="str">
        <f t="shared" si="0"/>
        <v>IBVS 6063 </v>
      </c>
      <c r="B17" s="3" t="str">
        <f t="shared" si="1"/>
        <v>I</v>
      </c>
      <c r="C17" s="10">
        <f t="shared" si="2"/>
        <v>56366.666599999997</v>
      </c>
      <c r="D17" s="12" t="str">
        <f t="shared" si="3"/>
        <v>vis</v>
      </c>
      <c r="E17" s="45" t="e">
        <f>VLOOKUP(C17,Active!C$21:E$969,3,FALSE)</f>
        <v>#N/A</v>
      </c>
      <c r="F17" s="3" t="s">
        <v>59</v>
      </c>
      <c r="G17" s="12" t="str">
        <f t="shared" si="4"/>
        <v>56366.6666</v>
      </c>
      <c r="H17" s="10">
        <f t="shared" si="5"/>
        <v>2023</v>
      </c>
      <c r="I17" s="46" t="s">
        <v>88</v>
      </c>
      <c r="J17" s="47" t="s">
        <v>89</v>
      </c>
      <c r="K17" s="46" t="s">
        <v>81</v>
      </c>
      <c r="L17" s="46" t="s">
        <v>90</v>
      </c>
      <c r="M17" s="47" t="s">
        <v>64</v>
      </c>
      <c r="N17" s="47" t="s">
        <v>91</v>
      </c>
      <c r="O17" s="48" t="s">
        <v>72</v>
      </c>
      <c r="P17" s="49" t="s">
        <v>84</v>
      </c>
    </row>
    <row r="18" spans="1:16" ht="12.75" customHeight="1" thickBot="1">
      <c r="A18" s="10" t="str">
        <f t="shared" si="0"/>
        <v>BAVM 241 (=IBVS 6157) </v>
      </c>
      <c r="B18" s="3" t="str">
        <f t="shared" si="1"/>
        <v>I</v>
      </c>
      <c r="C18" s="10">
        <f t="shared" si="2"/>
        <v>57089.447200000002</v>
      </c>
      <c r="D18" s="12" t="str">
        <f t="shared" si="3"/>
        <v>vis</v>
      </c>
      <c r="E18" s="45">
        <f>VLOOKUP(C18,Active!C$21:E$969,3,FALSE)</f>
        <v>2329.9794001843375</v>
      </c>
      <c r="F18" s="3" t="s">
        <v>59</v>
      </c>
      <c r="G18" s="12" t="str">
        <f t="shared" si="4"/>
        <v>57089.4472</v>
      </c>
      <c r="H18" s="10">
        <f t="shared" si="5"/>
        <v>2330</v>
      </c>
      <c r="I18" s="46" t="s">
        <v>97</v>
      </c>
      <c r="J18" s="47" t="s">
        <v>98</v>
      </c>
      <c r="K18" s="46" t="s">
        <v>99</v>
      </c>
      <c r="L18" s="46" t="s">
        <v>100</v>
      </c>
      <c r="M18" s="47" t="s">
        <v>64</v>
      </c>
      <c r="N18" s="47" t="s">
        <v>101</v>
      </c>
      <c r="O18" s="48" t="s">
        <v>102</v>
      </c>
      <c r="P18" s="49" t="s">
        <v>103</v>
      </c>
    </row>
    <row r="19" spans="1:16">
      <c r="B19" s="3"/>
      <c r="E19" s="45"/>
      <c r="F19" s="3"/>
    </row>
    <row r="20" spans="1:16">
      <c r="B20" s="3"/>
      <c r="E20" s="45"/>
      <c r="F20" s="3"/>
    </row>
    <row r="21" spans="1:16">
      <c r="B21" s="3"/>
      <c r="E21" s="45"/>
      <c r="F21" s="3"/>
    </row>
    <row r="22" spans="1:16">
      <c r="B22" s="3"/>
      <c r="E22" s="45"/>
      <c r="F22" s="3"/>
    </row>
    <row r="23" spans="1:16">
      <c r="B23" s="3"/>
      <c r="E23" s="45"/>
      <c r="F23" s="3"/>
    </row>
    <row r="24" spans="1:16">
      <c r="B24" s="3"/>
      <c r="E24" s="45"/>
      <c r="F24" s="3"/>
    </row>
    <row r="25" spans="1:16">
      <c r="B25" s="3"/>
      <c r="E25" s="45"/>
      <c r="F25" s="3"/>
    </row>
    <row r="26" spans="1:16">
      <c r="B26" s="3"/>
      <c r="E26" s="45"/>
      <c r="F26" s="3"/>
    </row>
    <row r="27" spans="1:16">
      <c r="B27" s="3"/>
      <c r="E27" s="45"/>
      <c r="F27" s="3"/>
    </row>
    <row r="28" spans="1:16">
      <c r="B28" s="3"/>
      <c r="E28" s="45"/>
      <c r="F28" s="3"/>
    </row>
    <row r="29" spans="1:16">
      <c r="B29" s="3"/>
      <c r="E29" s="45"/>
      <c r="F29" s="3"/>
    </row>
    <row r="30" spans="1:16">
      <c r="B30" s="3"/>
      <c r="E30" s="45"/>
      <c r="F30" s="3"/>
    </row>
    <row r="31" spans="1:16">
      <c r="B31" s="3"/>
      <c r="E31" s="45"/>
      <c r="F31" s="3"/>
    </row>
    <row r="32" spans="1:16">
      <c r="B32" s="3"/>
      <c r="E32" s="45"/>
      <c r="F32" s="3"/>
    </row>
    <row r="33" spans="2:6">
      <c r="B33" s="3"/>
      <c r="E33" s="45"/>
      <c r="F33" s="3"/>
    </row>
    <row r="34" spans="2:6">
      <c r="B34" s="3"/>
      <c r="E34" s="45"/>
      <c r="F34" s="3"/>
    </row>
    <row r="35" spans="2:6">
      <c r="B35" s="3"/>
      <c r="E35" s="45"/>
      <c r="F35" s="3"/>
    </row>
    <row r="36" spans="2:6">
      <c r="B36" s="3"/>
      <c r="E36" s="45"/>
      <c r="F36" s="3"/>
    </row>
    <row r="37" spans="2:6">
      <c r="B37" s="3"/>
      <c r="E37" s="45"/>
      <c r="F37" s="3"/>
    </row>
    <row r="38" spans="2:6">
      <c r="B38" s="3"/>
      <c r="E38" s="45"/>
      <c r="F38" s="3"/>
    </row>
    <row r="39" spans="2:6">
      <c r="B39" s="3"/>
      <c r="E39" s="45"/>
      <c r="F39" s="3"/>
    </row>
    <row r="40" spans="2:6">
      <c r="B40" s="3"/>
      <c r="E40" s="45"/>
      <c r="F40" s="3"/>
    </row>
    <row r="41" spans="2:6">
      <c r="B41" s="3"/>
      <c r="E41" s="45"/>
      <c r="F41" s="3"/>
    </row>
    <row r="42" spans="2:6">
      <c r="B42" s="3"/>
      <c r="E42" s="45"/>
      <c r="F42" s="3"/>
    </row>
    <row r="43" spans="2:6">
      <c r="B43" s="3"/>
      <c r="E43" s="45"/>
      <c r="F43" s="3"/>
    </row>
    <row r="44" spans="2:6">
      <c r="B44" s="3"/>
      <c r="E44" s="45"/>
      <c r="F44" s="3"/>
    </row>
    <row r="45" spans="2:6">
      <c r="B45" s="3"/>
      <c r="E45" s="45"/>
      <c r="F45" s="3"/>
    </row>
    <row r="46" spans="2:6">
      <c r="B46" s="3"/>
      <c r="E46" s="45"/>
      <c r="F46" s="3"/>
    </row>
    <row r="47" spans="2:6">
      <c r="B47" s="3"/>
      <c r="E47" s="45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</sheetData>
  <phoneticPr fontId="8" type="noConversion"/>
  <hyperlinks>
    <hyperlink ref="P11" r:id="rId1" display="http://www.bav-astro.de/sfs/BAVM_link.php?BAVMnr=214"/>
    <hyperlink ref="P12" r:id="rId2" display="http://www.konkoly.hu/cgi-bin/IBVS?5945"/>
    <hyperlink ref="P13" r:id="rId3" display="http://www.konkoly.hu/cgi-bin/IBVS?6029"/>
    <hyperlink ref="P15" r:id="rId4" display="http://www.konkoly.hu/cgi-bin/IBVS?6063"/>
    <hyperlink ref="P16" r:id="rId5" display="http://www.konkoly.hu/cgi-bin/IBVS?6063"/>
    <hyperlink ref="P17" r:id="rId6" display="http://www.konkoly.hu/cgi-bin/IBVS?6063"/>
    <hyperlink ref="P14" r:id="rId7" display="http://www.bav-astro.de/sfs/BAVM_link.php?BAVMnr=238"/>
    <hyperlink ref="P18" r:id="rId8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2024-01-29T03:47:36Z</dcterms:modified>
</cp:coreProperties>
</file>