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E0126A0-59CA-4453-B11D-A83764D4B4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35" i="1"/>
  <c r="Q34" i="1"/>
  <c r="Q33" i="1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30" i="1"/>
  <c r="Q29" i="1"/>
  <c r="Q32" i="1"/>
  <c r="Q27" i="1"/>
  <c r="Q26" i="1"/>
  <c r="Q25" i="1"/>
  <c r="Q24" i="1"/>
  <c r="Q28" i="1"/>
  <c r="Q31" i="1"/>
  <c r="F16" i="1"/>
  <c r="C17" i="1"/>
  <c r="Q23" i="1"/>
  <c r="Q22" i="1"/>
  <c r="C7" i="1"/>
  <c r="E35" i="1"/>
  <c r="F35" i="1"/>
  <c r="C8" i="1"/>
  <c r="E21" i="1"/>
  <c r="F21" i="1"/>
  <c r="Q21" i="1"/>
  <c r="E11" i="2"/>
  <c r="E32" i="1"/>
  <c r="F32" i="1"/>
  <c r="E23" i="1"/>
  <c r="F23" i="1"/>
  <c r="G23" i="1"/>
  <c r="K23" i="1"/>
  <c r="E28" i="1"/>
  <c r="F28" i="1"/>
  <c r="G22" i="1"/>
  <c r="K22" i="1"/>
  <c r="E25" i="1"/>
  <c r="F25" i="1"/>
  <c r="G25" i="1"/>
  <c r="K25" i="1"/>
  <c r="E30" i="1"/>
  <c r="F30" i="1"/>
  <c r="G30" i="1"/>
  <c r="K30" i="1"/>
  <c r="E22" i="1"/>
  <c r="F22" i="1"/>
  <c r="E27" i="1"/>
  <c r="F27" i="1"/>
  <c r="G27" i="1"/>
  <c r="K27" i="1"/>
  <c r="E31" i="1"/>
  <c r="F31" i="1"/>
  <c r="E24" i="1"/>
  <c r="F24" i="1"/>
  <c r="G24" i="1"/>
  <c r="K24" i="1"/>
  <c r="E34" i="1"/>
  <c r="F34" i="1"/>
  <c r="G34" i="1"/>
  <c r="K34" i="1"/>
  <c r="G35" i="1"/>
  <c r="K35" i="1"/>
  <c r="G32" i="1"/>
  <c r="E29" i="1"/>
  <c r="F29" i="1"/>
  <c r="G29" i="1"/>
  <c r="K29" i="1"/>
  <c r="E33" i="1"/>
  <c r="F33" i="1"/>
  <c r="G33" i="1"/>
  <c r="K33" i="1"/>
  <c r="G21" i="1"/>
  <c r="H21" i="1"/>
  <c r="G28" i="1"/>
  <c r="K28" i="1"/>
  <c r="E26" i="1"/>
  <c r="F26" i="1"/>
  <c r="G26" i="1"/>
  <c r="K26" i="1"/>
  <c r="E15" i="2"/>
  <c r="E13" i="2"/>
  <c r="J32" i="1"/>
  <c r="E14" i="2"/>
  <c r="E12" i="2"/>
  <c r="E19" i="2"/>
  <c r="E18" i="2"/>
  <c r="E17" i="2"/>
  <c r="E16" i="2"/>
  <c r="C11" i="1"/>
  <c r="C12" i="1"/>
  <c r="O35" i="1" l="1"/>
  <c r="O29" i="1"/>
  <c r="O24" i="1"/>
  <c r="O22" i="1"/>
  <c r="C15" i="1"/>
  <c r="O25" i="1"/>
  <c r="O23" i="1"/>
  <c r="O32" i="1"/>
  <c r="O30" i="1"/>
  <c r="O26" i="1"/>
  <c r="O28" i="1"/>
  <c r="O21" i="1"/>
  <c r="O33" i="1"/>
  <c r="O31" i="1"/>
  <c r="O34" i="1"/>
  <c r="O27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<sst xmlns="http://schemas.openxmlformats.org/spreadsheetml/2006/main" count="158" uniqueCount="110">
  <si>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</si>
  <si>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</si>
  <si>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</si>
  <si>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</si>
  <si>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</si>
  <si>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</si>
  <si>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</si>
  <si>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</si>
  <si>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</si>
  <si>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</si>
  <si>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</si>
  <si>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</si>
  <si>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</si>
  <si>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</si>
  <si>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</si>
  <si>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</si>
  <si>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</si>
  <si>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</si>
  <si>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</si>
  <si>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</si>
  <si>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</si>
  <si>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</si>
  <si>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</si>
  <si>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</si>
  <si>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</si>
  <si>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</si>
  <si>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</si>
  <si>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</si>
  <si>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</si>
  <si>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</si>
  <si>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</si>
  <si>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</si>
  <si>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</si>
  <si>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</si>
  <si>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</si>
  <si>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IN Cnc / GSC 1402-0121</t>
  </si>
  <si>
    <t>EB</t>
  </si>
  <si>
    <t>IBVS 5894</t>
  </si>
  <si>
    <t>I</t>
  </si>
  <si>
    <t>IBVS 5966</t>
  </si>
  <si>
    <t>Add cycle</t>
  </si>
  <si>
    <t>Old Cycle</t>
  </si>
  <si>
    <t>IBVS 6010</t>
  </si>
  <si>
    <t>II</t>
  </si>
  <si>
    <t>Bad</t>
  </si>
  <si>
    <t>OEJV 0160</t>
  </si>
  <si>
    <t>IBVS 6092</t>
  </si>
  <si>
    <t>IBVS 6152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</si>
  <si>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</si>
  <si>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</si>
  <si>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</si>
  <si>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</si>
  <si>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</si>
  <si>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</si>
  <si>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</si>
  <si>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</si>
  <si>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</si>
  <si>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</si>
  <si>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</si>
  <si>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</si>
  <si>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2454889.623 </t>
  </si>
  <si>
    <t> 27.02.2009 02:57 </t>
  </si>
  <si>
    <t> -0.000 </t>
  </si>
  <si>
    <t>C </t>
  </si>
  <si>
    <t> R.Diethelm </t>
  </si>
  <si>
    <t>IBVS 5894 </t>
  </si>
  <si>
    <t>2455264.7131 </t>
  </si>
  <si>
    <t> 09.03.2010 05:06 </t>
  </si>
  <si>
    <t> -0.0010 </t>
  </si>
  <si>
    <t> R.Nelson </t>
  </si>
  <si>
    <t>IBVS 5966 </t>
  </si>
  <si>
    <t>2455625.5169 </t>
  </si>
  <si>
    <t> 05.03.2011 00:24 </t>
  </si>
  <si>
    <t> 0.0035 </t>
  </si>
  <si>
    <t>-I</t>
  </si>
  <si>
    <t> F.Agerer </t>
  </si>
  <si>
    <t>BAVM 220 </t>
  </si>
  <si>
    <t>2455629.27515 </t>
  </si>
  <si>
    <t> 08.03.2011 18:36 </t>
  </si>
  <si>
    <t>-760</t>
  </si>
  <si>
    <t> 0.00086 </t>
  </si>
  <si>
    <t>R</t>
  </si>
  <si>
    <t> M.Lehky </t>
  </si>
  <si>
    <t>OEJV 0160 </t>
  </si>
  <si>
    <t>2455649.3331 </t>
  </si>
  <si>
    <t> 28.03.2011 19:59 </t>
  </si>
  <si>
    <t>-720</t>
  </si>
  <si>
    <t> 0.0005 </t>
  </si>
  <si>
    <t> L.Brat </t>
  </si>
  <si>
    <t>2455963.49632 </t>
  </si>
  <si>
    <t> 05.02.2012 23:54 </t>
  </si>
  <si>
    <t>-93.5</t>
  </si>
  <si>
    <t> 0.00007 </t>
  </si>
  <si>
    <t>2456010.38257 </t>
  </si>
  <si>
    <t> 23.03.2012 21:10 </t>
  </si>
  <si>
    <t>0</t>
  </si>
  <si>
    <t> -0.00003 </t>
  </si>
  <si>
    <t>2456374.6944 </t>
  </si>
  <si>
    <t> 23.03.2013 04:39 </t>
  </si>
  <si>
    <t>726.5</t>
  </si>
  <si>
    <t> 0.0023 </t>
  </si>
  <si>
    <t>IBVS 6092 </t>
  </si>
  <si>
    <t>2457074.4786 </t>
  </si>
  <si>
    <t> 20.02.2015 23:29 </t>
  </si>
  <si>
    <t>2122</t>
  </si>
  <si>
    <t> 0.0015 </t>
  </si>
  <si>
    <t>BAVM 239 </t>
  </si>
  <si>
    <t>OEJV 0179</t>
  </si>
  <si>
    <t>IBVS 6234</t>
  </si>
  <si>
    <t>RHN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</si>
</sst>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5" fillId="0" borderId="0"/>
    <xf numFmtId="0" fontId="25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36" fillId="0" borderId="0" xfId="43" applyFont="1" applyAlignment="1">
      <alignment vertical="center"/>
    </xf>
    <xf numFmtId="0" fontId="35" fillId="0" borderId="0" xfId="42" applyFont="1" applyAlignment="1">
      <alignment vertical="center"/>
    </xf>
    <xf numFmtId="0" fontId="35" fillId="0" borderId="0" xfId="42" applyFont="1" applyAlignment="1">
      <alignment horizontal="center" vertical="center"/>
    </xf>
    <xf numFmtId="0" fontId="35" fillId="0" borderId="0" xfId="42" applyFont="1" applyAlignment="1">
      <alignment horizontal="lef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rmal_D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 Cnc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6-45D3-BBA2-D02CA514F1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D6-45D3-BBA2-D02CA514F1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1">
                  <c:v>-8.259999995061662E-3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D6-45D3-BBA2-D02CA514F1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-2.639999998791609E-3</c:v>
                </c:pt>
                <c:pt idx="2">
                  <c:v>-4.6199999997043051E-3</c:v>
                </c:pt>
                <c:pt idx="3">
                  <c:v>-3.9899999974295497E-3</c:v>
                </c:pt>
                <c:pt idx="4">
                  <c:v>-4.4399999969755299E-3</c:v>
                </c:pt>
                <c:pt idx="5">
                  <c:v>-5.9099999998579733E-3</c:v>
                </c:pt>
                <c:pt idx="6">
                  <c:v>-6.1699999932898208E-3</c:v>
                </c:pt>
                <c:pt idx="7">
                  <c:v>-5.0300000002607703E-3</c:v>
                </c:pt>
                <c:pt idx="8">
                  <c:v>-9.2700000022887252E-3</c:v>
                </c:pt>
                <c:pt idx="9">
                  <c:v>-9.3899999919813126E-3</c:v>
                </c:pt>
                <c:pt idx="12">
                  <c:v>-1.2479999997594859E-2</c:v>
                </c:pt>
                <c:pt idx="13">
                  <c:v>-1.0169999994104728E-2</c:v>
                </c:pt>
                <c:pt idx="14">
                  <c:v>-2.2400000001653098E-2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D6-45D3-BBA2-D02CA514F1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D6-45D3-BBA2-D02CA514F1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D6-45D3-BBA2-D02CA514F1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D6-45D3-BBA2-D02CA514F1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1.3943252496677456E-2</c:v>
                </c:pt>
                <c:pt idx="1">
                  <c:v>2.5340163748038685E-3</c:v>
                </c:pt>
                <c:pt idx="2">
                  <c:v>5.6035573207458E-4</c:v>
                </c:pt>
                <c:pt idx="3">
                  <c:v>-1.3578946519684585E-3</c:v>
                </c:pt>
                <c:pt idx="4">
                  <c:v>-1.4634380018470304E-3</c:v>
                </c:pt>
                <c:pt idx="5">
                  <c:v>-3.1165107193201584E-3</c:v>
                </c:pt>
                <c:pt idx="6">
                  <c:v>-3.3632182996613177E-3</c:v>
                </c:pt>
                <c:pt idx="7">
                  <c:v>-5.2801493918308746E-3</c:v>
                </c:pt>
                <c:pt idx="8">
                  <c:v>-7.0783442153870384E-3</c:v>
                </c:pt>
                <c:pt idx="9">
                  <c:v>-7.3356061307160575E-3</c:v>
                </c:pt>
                <c:pt idx="10">
                  <c:v>-1.3381052738662275E-3</c:v>
                </c:pt>
                <c:pt idx="11">
                  <c:v>-8.962293010719543E-3</c:v>
                </c:pt>
                <c:pt idx="12">
                  <c:v>-1.2951831636129549E-2</c:v>
                </c:pt>
                <c:pt idx="13">
                  <c:v>-9.1245659111578448E-3</c:v>
                </c:pt>
                <c:pt idx="14">
                  <c:v>-2.2271309430407418E-2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D6-45D3-BBA2-D02CA514F1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-1.2899999928777106E-3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D6-45D3-BBA2-D02CA514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39984"/>
        <c:axId val="1"/>
      </c:scatterChart>
      <c:valAx>
        <c:axId val="80203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039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097744360902256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1FC1806-AC03-92F6-2537-82660F316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92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966" TargetMode="External"/><Relationship Id="rId1" Type="http://schemas.openxmlformats.org/officeDocument/2006/relationships/hyperlink" Target="http://www.konkoly.hu/cgi-bin/IBVS?5894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>
      <c r="A1" s="1" t="s">
        <v>35</v>
      </c>
    </row>
    <row r="2" spans="1:6" s="22" customFormat="1" ht="12.95" customHeight="1">
      <c r="A2" s="22" t="s">
        <v>24</v>
      </c>
      <c r="B2" s="22" t="s">
        <v>36</v>
      </c>
      <c r="C2" s="23"/>
      <c r="D2" s="23"/>
    </row>
    <row r="3" spans="1:6" s="22" customFormat="1" ht="12.95" customHeight="1" thickBot="1"/>
    <row r="4" spans="1:6" s="22" customFormat="1" ht="12.95" customHeight="1" thickTop="1" thickBot="1">
      <c r="A4" s="24" t="s">
        <v>0</v>
      </c>
      <c r="C4" s="25">
        <v>52721.312599999997</v>
      </c>
      <c r="D4" s="26">
        <v>0.50146000000000002</v>
      </c>
    </row>
    <row r="5" spans="1:6" s="22" customFormat="1" ht="12.95" customHeight="1" thickTop="1">
      <c r="A5" s="27" t="s">
        <v>29</v>
      </c>
      <c r="C5" s="28">
        <v>-9.5</v>
      </c>
      <c r="D5" s="22" t="s">
        <v>30</v>
      </c>
    </row>
    <row r="6" spans="1:6" s="22" customFormat="1" ht="12.95" customHeight="1">
      <c r="A6" s="24" t="s">
        <v>1</v>
      </c>
    </row>
    <row r="7" spans="1:6" s="22" customFormat="1" ht="12.95" customHeight="1">
      <c r="A7" s="22" t="s">
        <v>2</v>
      </c>
      <c r="C7" s="22">
        <f>+C4</f>
        <v>52721.312599999997</v>
      </c>
    </row>
    <row r="8" spans="1:6" s="22" customFormat="1" ht="12.95" customHeight="1">
      <c r="A8" s="22" t="s">
        <v>3</v>
      </c>
      <c r="C8" s="22">
        <f>+D4</f>
        <v>0.50146000000000002</v>
      </c>
    </row>
    <row r="9" spans="1:6" s="22" customFormat="1" ht="12.95" customHeight="1">
      <c r="A9" s="29" t="s">
        <v>34</v>
      </c>
      <c r="B9" s="30">
        <v>32</v>
      </c>
      <c r="C9" s="31" t="str">
        <f>"F"&amp;B9</f>
        <v>F32</v>
      </c>
      <c r="D9" s="32" t="str">
        <f>"G"&amp;B9</f>
        <v>G32</v>
      </c>
    </row>
    <row r="10" spans="1:6" s="22" customFormat="1" ht="12.95" customHeight="1" thickBot="1">
      <c r="C10" s="33" t="s">
        <v>20</v>
      </c>
      <c r="D10" s="33" t="s">
        <v>21</v>
      </c>
    </row>
    <row r="11" spans="1:6" s="22" customFormat="1" ht="12.95" customHeight="1">
      <c r="A11" s="22" t="s">
        <v>16</v>
      </c>
      <c r="C11" s="32">
        <f ca="1">INTERCEPT(INDIRECT($D$9):G992,INDIRECT($C$9):F992)</f>
        <v>1.3943252496677456E-2</v>
      </c>
      <c r="D11" s="23"/>
    </row>
    <row r="12" spans="1:6" s="22" customFormat="1" ht="12.95" customHeight="1">
      <c r="A12" s="22" t="s">
        <v>17</v>
      </c>
      <c r="C12" s="32">
        <f ca="1">SLOPE(INDIRECT($D$9):G992,INDIRECT($C$9):F992)</f>
        <v>-2.6385837469642896E-6</v>
      </c>
      <c r="D12" s="23"/>
    </row>
    <row r="13" spans="1:6" s="22" customFormat="1" ht="12.95" customHeight="1">
      <c r="A13" s="22" t="s">
        <v>19</v>
      </c>
      <c r="C13" s="23" t="s">
        <v>14</v>
      </c>
    </row>
    <row r="14" spans="1:6" s="22" customFormat="1" ht="12.95" customHeight="1"/>
    <row r="15" spans="1:6" s="22" customFormat="1" ht="12.95" customHeight="1">
      <c r="A15" s="34" t="s">
        <v>18</v>
      </c>
      <c r="C15" s="35">
        <f ca="1">(C7+C11)+(C8+C12)*INT(MAX(F21:F3533))</f>
        <v>59603.828828690566</v>
      </c>
      <c r="E15" s="36" t="s">
        <v>40</v>
      </c>
      <c r="F15" s="28">
        <v>1</v>
      </c>
    </row>
    <row r="16" spans="1:6" s="22" customFormat="1" ht="12.95" customHeight="1">
      <c r="A16" s="24" t="s">
        <v>4</v>
      </c>
      <c r="C16" s="37">
        <f ca="1">+C8+C12</f>
        <v>0.50145736141625308</v>
      </c>
      <c r="E16" s="36" t="s">
        <v>31</v>
      </c>
      <c r="F16" s="38">
        <f ca="1">NOW()+15018.5+$C$5/24</f>
        <v>60367.566362268517</v>
      </c>
    </row>
    <row r="17" spans="1:21" s="22" customFormat="1" ht="12.95" customHeight="1" thickBot="1">
      <c r="A17" s="36" t="s">
        <v>28</v>
      </c>
      <c r="C17" s="22">
        <f>COUNT(C21:C2191)</f>
        <v>15</v>
      </c>
      <c r="E17" s="36" t="s">
        <v>41</v>
      </c>
      <c r="F17" s="38">
        <f ca="1">ROUND(2*(F16-$C$7)/$C$8,0)/2+F15</f>
        <v>15249</v>
      </c>
    </row>
    <row r="18" spans="1:21" s="22" customFormat="1" ht="12.95" customHeight="1" thickTop="1" thickBot="1">
      <c r="A18" s="24" t="s">
        <v>5</v>
      </c>
      <c r="C18" s="39">
        <f ca="1">+C15</f>
        <v>59603.828828690566</v>
      </c>
      <c r="D18" s="40">
        <f ca="1">+C16</f>
        <v>0.50145736141625308</v>
      </c>
      <c r="E18" s="36" t="s">
        <v>32</v>
      </c>
      <c r="F18" s="32">
        <f ca="1">ROUND(2*(F16-$C$15)/$C$16,0)/2+F15</f>
        <v>1524</v>
      </c>
    </row>
    <row r="19" spans="1:21" s="22" customFormat="1" ht="12.95" customHeight="1" thickTop="1">
      <c r="E19" s="36" t="s">
        <v>33</v>
      </c>
      <c r="F19" s="41">
        <f ca="1">+$C$15+$C$16*F18-15018.5-$C$5/24</f>
        <v>45349.945680822275</v>
      </c>
    </row>
    <row r="20" spans="1:21" s="22" customFormat="1" ht="12.95" customHeight="1" thickBot="1">
      <c r="A20" s="33" t="s">
        <v>6</v>
      </c>
      <c r="B20" s="33" t="s">
        <v>7</v>
      </c>
      <c r="C20" s="33" t="s">
        <v>8</v>
      </c>
      <c r="D20" s="33" t="s">
        <v>13</v>
      </c>
      <c r="E20" s="33" t="s">
        <v>9</v>
      </c>
      <c r="F20" s="33" t="s">
        <v>10</v>
      </c>
      <c r="G20" s="33" t="s">
        <v>11</v>
      </c>
      <c r="H20" s="42" t="s">
        <v>56</v>
      </c>
      <c r="I20" s="42" t="s">
        <v>59</v>
      </c>
      <c r="J20" s="42" t="s">
        <v>53</v>
      </c>
      <c r="K20" s="42" t="s">
        <v>51</v>
      </c>
      <c r="L20" s="42" t="s">
        <v>25</v>
      </c>
      <c r="M20" s="42" t="s">
        <v>26</v>
      </c>
      <c r="N20" s="42" t="s">
        <v>27</v>
      </c>
      <c r="O20" s="42" t="s">
        <v>23</v>
      </c>
      <c r="P20" s="43" t="s">
        <v>22</v>
      </c>
      <c r="Q20" s="33" t="s">
        <v>15</v>
      </c>
      <c r="R20" s="33"/>
      <c r="S20" s="33"/>
      <c r="T20" s="33"/>
      <c r="U20" s="44" t="s">
        <v>44</v>
      </c>
    </row>
    <row r="21" spans="1:21" s="22" customFormat="1" ht="12.95" customHeight="1">
      <c r="A21" s="22" t="s">
        <v>12</v>
      </c>
      <c r="C21" s="45">
        <v>52721.312599999997</v>
      </c>
      <c r="D21" s="45" t="s">
        <v>14</v>
      </c>
      <c r="E21" s="22">
        <f t="shared" ref="E21:E32" si="0">+(C21-C$7)/C$8</f>
        <v>0</v>
      </c>
      <c r="F21" s="22">
        <f t="shared" ref="F21:F35" si="1">ROUND(2*E21,0)/2</f>
        <v>0</v>
      </c>
      <c r="G21" s="22">
        <f t="shared" ref="G21:G30" si="2">+C21-(C$7+F21*C$8)</f>
        <v>0</v>
      </c>
      <c r="H21" s="22">
        <f>+G21</f>
        <v>0</v>
      </c>
      <c r="O21" s="22">
        <f t="shared" ref="O21:O32" ca="1" si="3">+C$11+C$12*$F21</f>
        <v>1.3943252496677456E-2</v>
      </c>
      <c r="Q21" s="46">
        <f t="shared" ref="Q21:Q32" si="4">+C21-15018.5</f>
        <v>37702.812599999997</v>
      </c>
      <c r="R21" s="46"/>
      <c r="S21" s="46"/>
      <c r="T21" s="46"/>
    </row>
    <row r="22" spans="1:21" s="22" customFormat="1" ht="12.95" customHeight="1">
      <c r="A22" s="5" t="s">
        <v>37</v>
      </c>
      <c r="B22" s="6" t="s">
        <v>38</v>
      </c>
      <c r="C22" s="5">
        <v>54889.623</v>
      </c>
      <c r="D22" s="5">
        <v>2E-3</v>
      </c>
      <c r="E22" s="22">
        <f t="shared" si="0"/>
        <v>4323.9947353727157</v>
      </c>
      <c r="F22" s="22">
        <f t="shared" si="1"/>
        <v>4324</v>
      </c>
      <c r="G22" s="22">
        <f t="shared" si="2"/>
        <v>-2.639999998791609E-3</v>
      </c>
      <c r="K22" s="22">
        <f t="shared" ref="K22:K30" si="5">+G22</f>
        <v>-2.639999998791609E-3</v>
      </c>
      <c r="O22" s="22">
        <f t="shared" ca="1" si="3"/>
        <v>2.5340163748038685E-3</v>
      </c>
      <c r="Q22" s="46">
        <f t="shared" si="4"/>
        <v>39871.123</v>
      </c>
      <c r="R22" s="46"/>
      <c r="S22" s="46"/>
      <c r="T22" s="46"/>
    </row>
    <row r="23" spans="1:21" s="22" customFormat="1" ht="12.95" customHeight="1">
      <c r="A23" s="47" t="s">
        <v>39</v>
      </c>
      <c r="B23" s="48"/>
      <c r="C23" s="5">
        <v>55264.713100000001</v>
      </c>
      <c r="D23" s="5">
        <v>2.0000000000000001E-4</v>
      </c>
      <c r="E23" s="22">
        <f t="shared" si="0"/>
        <v>5071.9907869022518</v>
      </c>
      <c r="F23" s="22">
        <f t="shared" si="1"/>
        <v>5072</v>
      </c>
      <c r="G23" s="22">
        <f t="shared" si="2"/>
        <v>-4.6199999997043051E-3</v>
      </c>
      <c r="K23" s="22">
        <f t="shared" si="5"/>
        <v>-4.6199999997043051E-3</v>
      </c>
      <c r="O23" s="22">
        <f t="shared" ca="1" si="3"/>
        <v>5.6035573207458E-4</v>
      </c>
      <c r="Q23" s="46">
        <f t="shared" si="4"/>
        <v>40246.213100000001</v>
      </c>
      <c r="R23" s="46"/>
      <c r="S23" s="46"/>
      <c r="T23" s="46"/>
    </row>
    <row r="24" spans="1:21" s="22" customFormat="1" ht="12.95" customHeight="1">
      <c r="A24" s="48" t="s">
        <v>45</v>
      </c>
      <c r="B24" s="6" t="s">
        <v>38</v>
      </c>
      <c r="C24" s="5">
        <v>55629.275150000001</v>
      </c>
      <c r="D24" s="5">
        <v>2.9999999999999997E-4</v>
      </c>
      <c r="E24" s="22">
        <f t="shared" si="0"/>
        <v>5798.9920432337649</v>
      </c>
      <c r="F24" s="22">
        <f t="shared" si="1"/>
        <v>5799</v>
      </c>
      <c r="G24" s="22">
        <f t="shared" si="2"/>
        <v>-3.9899999974295497E-3</v>
      </c>
      <c r="K24" s="22">
        <f t="shared" si="5"/>
        <v>-3.9899999974295497E-3</v>
      </c>
      <c r="O24" s="22">
        <f t="shared" ca="1" si="3"/>
        <v>-1.3578946519684585E-3</v>
      </c>
      <c r="Q24" s="46">
        <f t="shared" si="4"/>
        <v>40610.775150000001</v>
      </c>
      <c r="R24" s="46"/>
      <c r="S24" s="46"/>
      <c r="T24" s="46"/>
    </row>
    <row r="25" spans="1:21" s="22" customFormat="1" ht="12.95" customHeight="1">
      <c r="A25" s="48" t="s">
        <v>45</v>
      </c>
      <c r="B25" s="6" t="s">
        <v>38</v>
      </c>
      <c r="C25" s="5">
        <v>55649.333100000003</v>
      </c>
      <c r="D25" s="5">
        <v>2.0000000000000001E-4</v>
      </c>
      <c r="E25" s="22">
        <f t="shared" si="0"/>
        <v>5838.9911458541173</v>
      </c>
      <c r="F25" s="22">
        <f t="shared" si="1"/>
        <v>5839</v>
      </c>
      <c r="G25" s="22">
        <f t="shared" si="2"/>
        <v>-4.4399999969755299E-3</v>
      </c>
      <c r="K25" s="22">
        <f t="shared" si="5"/>
        <v>-4.4399999969755299E-3</v>
      </c>
      <c r="O25" s="22">
        <f t="shared" ca="1" si="3"/>
        <v>-1.4634380018470304E-3</v>
      </c>
      <c r="Q25" s="46">
        <f t="shared" si="4"/>
        <v>40630.833100000003</v>
      </c>
      <c r="R25" s="46"/>
      <c r="S25" s="46"/>
      <c r="T25" s="46"/>
    </row>
    <row r="26" spans="1:21" s="22" customFormat="1" ht="12.95" customHeight="1">
      <c r="A26" s="48" t="s">
        <v>45</v>
      </c>
      <c r="B26" s="6" t="s">
        <v>43</v>
      </c>
      <c r="C26" s="5">
        <v>55963.496319999998</v>
      </c>
      <c r="D26" s="5">
        <v>5.9999999999999995E-4</v>
      </c>
      <c r="E26" s="22">
        <f t="shared" si="0"/>
        <v>6465.4882144139128</v>
      </c>
      <c r="F26" s="22">
        <f t="shared" si="1"/>
        <v>6465.5</v>
      </c>
      <c r="G26" s="22">
        <f t="shared" si="2"/>
        <v>-5.9099999998579733E-3</v>
      </c>
      <c r="K26" s="22">
        <f t="shared" si="5"/>
        <v>-5.9099999998579733E-3</v>
      </c>
      <c r="O26" s="22">
        <f t="shared" ca="1" si="3"/>
        <v>-3.1165107193201584E-3</v>
      </c>
      <c r="Q26" s="46">
        <f t="shared" si="4"/>
        <v>40944.996319999998</v>
      </c>
      <c r="R26" s="46"/>
      <c r="S26" s="46"/>
      <c r="T26" s="46"/>
    </row>
    <row r="27" spans="1:21" s="22" customFormat="1" ht="12.95" customHeight="1">
      <c r="A27" s="48" t="s">
        <v>45</v>
      </c>
      <c r="B27" s="6" t="s">
        <v>38</v>
      </c>
      <c r="C27" s="5">
        <v>56010.382570000002</v>
      </c>
      <c r="D27" s="5">
        <v>2.9999999999999997E-4</v>
      </c>
      <c r="E27" s="22">
        <f t="shared" si="0"/>
        <v>6558.9876959278981</v>
      </c>
      <c r="F27" s="22">
        <f t="shared" si="1"/>
        <v>6559</v>
      </c>
      <c r="G27" s="22">
        <f t="shared" si="2"/>
        <v>-6.1699999932898208E-3</v>
      </c>
      <c r="K27" s="22">
        <f t="shared" si="5"/>
        <v>-6.1699999932898208E-3</v>
      </c>
      <c r="O27" s="22">
        <f t="shared" ca="1" si="3"/>
        <v>-3.3632182996613177E-3</v>
      </c>
      <c r="Q27" s="46">
        <f t="shared" si="4"/>
        <v>40991.882570000002</v>
      </c>
      <c r="R27" s="46"/>
      <c r="S27" s="46"/>
      <c r="T27" s="46"/>
    </row>
    <row r="28" spans="1:21" s="22" customFormat="1" ht="12.95" customHeight="1">
      <c r="A28" s="47" t="s">
        <v>46</v>
      </c>
      <c r="B28" s="48"/>
      <c r="C28" s="5">
        <v>56374.6944</v>
      </c>
      <c r="D28" s="5">
        <v>5.0000000000000001E-4</v>
      </c>
      <c r="E28" s="22">
        <f t="shared" si="0"/>
        <v>7285.4899692896797</v>
      </c>
      <c r="F28" s="22">
        <f t="shared" si="1"/>
        <v>7285.5</v>
      </c>
      <c r="G28" s="22">
        <f t="shared" si="2"/>
        <v>-5.0300000002607703E-3</v>
      </c>
      <c r="K28" s="22">
        <f t="shared" si="5"/>
        <v>-5.0300000002607703E-3</v>
      </c>
      <c r="O28" s="22">
        <f t="shared" ca="1" si="3"/>
        <v>-5.2801493918308746E-3</v>
      </c>
      <c r="Q28" s="46">
        <f t="shared" si="4"/>
        <v>41356.1944</v>
      </c>
      <c r="R28" s="46"/>
      <c r="S28" s="46"/>
      <c r="T28" s="46"/>
    </row>
    <row r="29" spans="1:21" s="22" customFormat="1" ht="12.95" customHeight="1">
      <c r="A29" s="5" t="s">
        <v>48</v>
      </c>
      <c r="B29" s="6" t="s">
        <v>38</v>
      </c>
      <c r="C29" s="49">
        <v>56716.435149999998</v>
      </c>
      <c r="D29" s="5">
        <v>2.9999999999999997E-4</v>
      </c>
      <c r="E29" s="22">
        <f t="shared" si="0"/>
        <v>7966.9815139791808</v>
      </c>
      <c r="F29" s="22">
        <f t="shared" si="1"/>
        <v>7967</v>
      </c>
      <c r="G29" s="22">
        <f t="shared" si="2"/>
        <v>-9.2700000022887252E-3</v>
      </c>
      <c r="K29" s="22">
        <f t="shared" si="5"/>
        <v>-9.2700000022887252E-3</v>
      </c>
      <c r="O29" s="22">
        <f t="shared" ca="1" si="3"/>
        <v>-7.0783442153870384E-3</v>
      </c>
      <c r="Q29" s="46">
        <f t="shared" si="4"/>
        <v>41697.935149999998</v>
      </c>
      <c r="R29" s="46"/>
      <c r="S29" s="46"/>
      <c r="T29" s="46"/>
    </row>
    <row r="30" spans="1:21" s="22" customFormat="1" ht="12.95" customHeight="1">
      <c r="A30" s="5" t="s">
        <v>48</v>
      </c>
      <c r="B30" s="6" t="s">
        <v>43</v>
      </c>
      <c r="C30" s="49">
        <v>56765.327380000002</v>
      </c>
      <c r="D30" s="5">
        <v>4.0000000000000002E-4</v>
      </c>
      <c r="E30" s="22">
        <f t="shared" si="0"/>
        <v>8064.4812746779498</v>
      </c>
      <c r="F30" s="22">
        <f t="shared" si="1"/>
        <v>8064.5</v>
      </c>
      <c r="G30" s="22">
        <f t="shared" si="2"/>
        <v>-9.3899999919813126E-3</v>
      </c>
      <c r="K30" s="22">
        <f t="shared" si="5"/>
        <v>-9.3899999919813126E-3</v>
      </c>
      <c r="O30" s="22">
        <f t="shared" ca="1" si="3"/>
        <v>-7.3356061307160575E-3</v>
      </c>
      <c r="Q30" s="46">
        <f t="shared" si="4"/>
        <v>41746.827380000002</v>
      </c>
      <c r="R30" s="46"/>
      <c r="S30" s="46"/>
      <c r="T30" s="46"/>
    </row>
    <row r="31" spans="1:21" s="22" customFormat="1" ht="12.95" customHeight="1">
      <c r="A31" s="5" t="s">
        <v>42</v>
      </c>
      <c r="B31" s="6" t="s">
        <v>43</v>
      </c>
      <c r="C31" s="5">
        <v>55625.516900000002</v>
      </c>
      <c r="D31" s="5">
        <v>3.7000000000000002E-3</v>
      </c>
      <c r="E31" s="22">
        <f t="shared" si="0"/>
        <v>5791.4974275116756</v>
      </c>
      <c r="F31" s="22">
        <f t="shared" si="1"/>
        <v>5791.5</v>
      </c>
      <c r="O31" s="22">
        <f t="shared" ca="1" si="3"/>
        <v>-1.3381052738662275E-3</v>
      </c>
      <c r="Q31" s="46">
        <f t="shared" si="4"/>
        <v>40607.016900000002</v>
      </c>
      <c r="R31" s="46"/>
      <c r="S31" s="46"/>
      <c r="T31" s="46"/>
      <c r="U31" s="32">
        <v>-1.2899999928777106E-3</v>
      </c>
    </row>
    <row r="32" spans="1:21" s="22" customFormat="1" ht="12.95" customHeight="1">
      <c r="A32" s="50" t="s">
        <v>47</v>
      </c>
      <c r="B32" s="6"/>
      <c r="C32" s="50">
        <v>57074.478600000002</v>
      </c>
      <c r="D32" s="50">
        <v>4.0000000000000002E-4</v>
      </c>
      <c r="E32" s="22">
        <f t="shared" si="0"/>
        <v>8680.9835280979623</v>
      </c>
      <c r="F32" s="22">
        <f t="shared" si="1"/>
        <v>8681</v>
      </c>
      <c r="G32" s="22">
        <f>+C32-(C$7+F32*C$8)</f>
        <v>-8.259999995061662E-3</v>
      </c>
      <c r="J32" s="22">
        <f>+G32</f>
        <v>-8.259999995061662E-3</v>
      </c>
      <c r="O32" s="22">
        <f t="shared" ca="1" si="3"/>
        <v>-8.962293010719543E-3</v>
      </c>
      <c r="Q32" s="46">
        <f t="shared" si="4"/>
        <v>42055.978600000002</v>
      </c>
      <c r="R32" s="46"/>
      <c r="S32" s="46"/>
      <c r="T32" s="46"/>
    </row>
    <row r="33" spans="1:20" s="22" customFormat="1" ht="12.95" customHeight="1">
      <c r="A33" s="51" t="s">
        <v>108</v>
      </c>
      <c r="C33" s="45">
        <v>57832.681900000003</v>
      </c>
      <c r="D33" s="45">
        <v>1E-4</v>
      </c>
      <c r="E33" s="22">
        <f>+(C33-C$7)/C$8</f>
        <v>10192.975112671013</v>
      </c>
      <c r="F33" s="22">
        <f t="shared" si="1"/>
        <v>10193</v>
      </c>
      <c r="G33" s="22">
        <f>+C33-(C$7+F33*C$8)</f>
        <v>-1.2479999997594859E-2</v>
      </c>
      <c r="K33" s="22">
        <f>+G33</f>
        <v>-1.2479999997594859E-2</v>
      </c>
      <c r="O33" s="22">
        <f ca="1">+C$11+C$12*$F33</f>
        <v>-1.2951831636129549E-2</v>
      </c>
      <c r="Q33" s="46">
        <f>+C33-15018.5</f>
        <v>42814.181900000003</v>
      </c>
      <c r="R33" s="46"/>
      <c r="S33" s="46"/>
      <c r="T33" s="46"/>
    </row>
    <row r="34" spans="1:20" s="22" customFormat="1" ht="12.95" customHeight="1">
      <c r="A34" s="52" t="s">
        <v>107</v>
      </c>
      <c r="B34" s="53" t="s">
        <v>43</v>
      </c>
      <c r="C34" s="54">
        <v>57105.316480000001</v>
      </c>
      <c r="D34" s="54">
        <v>6.9999999999999999E-4</v>
      </c>
      <c r="E34" s="22">
        <f>+(C34-C$7)/C$8</f>
        <v>8742.4797192198857</v>
      </c>
      <c r="F34" s="22">
        <f t="shared" si="1"/>
        <v>8742.5</v>
      </c>
      <c r="G34" s="22">
        <f>+C34-(C$7+F34*C$8)</f>
        <v>-1.0169999994104728E-2</v>
      </c>
      <c r="K34" s="22">
        <f>+G34</f>
        <v>-1.0169999994104728E-2</v>
      </c>
      <c r="O34" s="22">
        <f ca="1">+C$11+C$12*$F34</f>
        <v>-9.1245659111578448E-3</v>
      </c>
      <c r="Q34" s="46">
        <f>+C34-15018.5</f>
        <v>42086.816480000001</v>
      </c>
    </row>
    <row r="35" spans="1:20" s="22" customFormat="1" ht="12.95" customHeight="1">
      <c r="A35" s="24" t="s">
        <v>109</v>
      </c>
      <c r="C35" s="20">
        <v>59603.828699999998</v>
      </c>
      <c r="D35" s="21">
        <v>2.0000000000000001E-4</v>
      </c>
      <c r="E35" s="22">
        <f>+(C35-C$7)/C$8</f>
        <v>13724.95533043513</v>
      </c>
      <c r="F35" s="22">
        <f t="shared" si="1"/>
        <v>13725</v>
      </c>
      <c r="G35" s="22">
        <f>+C35-(C$7+F35*C$8)</f>
        <v>-2.2400000001653098E-2</v>
      </c>
      <c r="K35" s="22">
        <f>+G35</f>
        <v>-2.2400000001653098E-2</v>
      </c>
      <c r="O35" s="22">
        <f ca="1">+C$11+C$12*$F35</f>
        <v>-2.2271309430407418E-2</v>
      </c>
      <c r="Q35" s="46">
        <f>+C35-15018.5</f>
        <v>44585.328699999998</v>
      </c>
    </row>
    <row r="36" spans="1:20" s="22" customFormat="1" ht="12.95" customHeight="1">
      <c r="C36" s="45"/>
      <c r="D36" s="45"/>
    </row>
    <row r="37" spans="1:20" s="22" customFormat="1" ht="12.95" customHeight="1">
      <c r="C37" s="45"/>
      <c r="D37" s="45"/>
    </row>
    <row r="38" spans="1:20" s="22" customFormat="1" ht="12.95" customHeight="1">
      <c r="C38" s="45"/>
      <c r="D38" s="45"/>
    </row>
    <row r="39" spans="1:20" s="22" customFormat="1" ht="12.95" customHeight="1">
      <c r="C39" s="45"/>
      <c r="D39" s="45"/>
    </row>
    <row r="40" spans="1:20" s="22" customFormat="1" ht="12.95" customHeight="1">
      <c r="C40" s="45"/>
      <c r="D40" s="45"/>
    </row>
    <row r="41" spans="1:20" s="22" customFormat="1" ht="12.95" customHeight="1">
      <c r="C41" s="45"/>
      <c r="D41" s="45"/>
    </row>
    <row r="42" spans="1:20" s="22" customFormat="1" ht="12.95" customHeight="1">
      <c r="C42" s="45"/>
      <c r="D42" s="45"/>
    </row>
    <row r="43" spans="1:20" s="22" customFormat="1" ht="12.95" customHeight="1">
      <c r="C43" s="45"/>
      <c r="D43" s="45"/>
    </row>
    <row r="44" spans="1:20" s="22" customFormat="1" ht="12.95" customHeight="1">
      <c r="C44" s="45"/>
      <c r="D44" s="45"/>
    </row>
    <row r="45" spans="1:20" s="22" customFormat="1" ht="12.95" customHeight="1">
      <c r="C45" s="45"/>
      <c r="D45" s="45"/>
    </row>
    <row r="46" spans="1:20" s="22" customFormat="1" ht="12.95" customHeight="1">
      <c r="C46" s="45"/>
      <c r="D46" s="45"/>
    </row>
    <row r="47" spans="1:20" s="22" customFormat="1" ht="12.95" customHeight="1">
      <c r="C47" s="45"/>
      <c r="D47" s="45"/>
    </row>
    <row r="48" spans="1:20" s="22" customFormat="1" ht="12.95" customHeight="1">
      <c r="C48" s="45"/>
      <c r="D48" s="45"/>
    </row>
    <row r="49" spans="3:4" s="22" customFormat="1" ht="12.95" customHeight="1">
      <c r="C49" s="45"/>
      <c r="D49" s="45"/>
    </row>
    <row r="50" spans="3:4" s="22" customFormat="1" ht="12.95" customHeight="1">
      <c r="C50" s="45"/>
      <c r="D50" s="45"/>
    </row>
    <row r="51" spans="3:4" s="22" customFormat="1" ht="12.95" customHeight="1">
      <c r="C51" s="45"/>
      <c r="D51" s="45"/>
    </row>
    <row r="52" spans="3:4" s="22" customFormat="1" ht="12.95" customHeight="1">
      <c r="C52" s="45"/>
      <c r="D52" s="45"/>
    </row>
    <row r="53" spans="3:4" s="22" customFormat="1" ht="12.95" customHeight="1">
      <c r="C53" s="45"/>
      <c r="D53" s="45"/>
    </row>
    <row r="54" spans="3:4" s="22" customFormat="1" ht="12.95" customHeight="1">
      <c r="C54" s="45"/>
      <c r="D54" s="45"/>
    </row>
    <row r="55" spans="3:4" s="22" customFormat="1" ht="12.95" customHeight="1">
      <c r="C55" s="45"/>
      <c r="D55" s="45"/>
    </row>
    <row r="56" spans="3:4" s="22" customFormat="1" ht="12.95" customHeight="1">
      <c r="C56" s="45"/>
      <c r="D56" s="45"/>
    </row>
    <row r="57" spans="3:4" s="22" customFormat="1" ht="12.95" customHeight="1">
      <c r="C57" s="45"/>
      <c r="D57" s="45"/>
    </row>
    <row r="58" spans="3:4" s="22" customFormat="1" ht="12.95" customHeight="1">
      <c r="C58" s="45"/>
      <c r="D58" s="45"/>
    </row>
    <row r="59" spans="3:4" s="22" customFormat="1" ht="12.95" customHeight="1">
      <c r="C59" s="45"/>
      <c r="D59" s="45"/>
    </row>
    <row r="60" spans="3:4" s="22" customFormat="1" ht="12.95" customHeight="1">
      <c r="C60" s="45"/>
      <c r="D60" s="45"/>
    </row>
    <row r="61" spans="3:4" s="22" customFormat="1" ht="12.95" customHeight="1">
      <c r="C61" s="45"/>
      <c r="D61" s="45"/>
    </row>
    <row r="62" spans="3:4" s="22" customFormat="1" ht="12.95" customHeight="1">
      <c r="C62" s="45"/>
      <c r="D62" s="45"/>
    </row>
    <row r="63" spans="3:4" s="22" customFormat="1" ht="12.95" customHeight="1">
      <c r="C63" s="45"/>
      <c r="D63" s="45"/>
    </row>
    <row r="64" spans="3:4" s="22" customFormat="1" ht="12.95" customHeight="1">
      <c r="C64" s="45"/>
      <c r="D64" s="45"/>
    </row>
    <row r="65" spans="3:4" s="22" customFormat="1" ht="12.95" customHeight="1">
      <c r="C65" s="45"/>
      <c r="D65" s="45"/>
    </row>
    <row r="66" spans="3:4" s="22" customFormat="1" ht="12.95" customHeight="1">
      <c r="C66" s="45"/>
      <c r="D66" s="45"/>
    </row>
    <row r="67" spans="3:4" s="22" customFormat="1" ht="12.95" customHeight="1">
      <c r="C67" s="45"/>
      <c r="D67" s="45"/>
    </row>
    <row r="68" spans="3:4" s="22" customFormat="1" ht="12.95" customHeight="1">
      <c r="C68" s="45"/>
      <c r="D68" s="45"/>
    </row>
    <row r="69" spans="3:4" s="22" customFormat="1" ht="12.95" customHeight="1">
      <c r="C69" s="45"/>
      <c r="D69" s="45"/>
    </row>
    <row r="70" spans="3:4" s="22" customFormat="1" ht="12.95" customHeight="1">
      <c r="C70" s="45"/>
      <c r="D70" s="45"/>
    </row>
    <row r="71" spans="3:4" s="22" customFormat="1" ht="12.95" customHeight="1">
      <c r="C71" s="45"/>
      <c r="D71" s="45"/>
    </row>
    <row r="72" spans="3:4" s="22" customFormat="1" ht="12.95" customHeight="1">
      <c r="C72" s="45"/>
      <c r="D72" s="45"/>
    </row>
    <row r="73" spans="3:4" s="22" customFormat="1" ht="12.95" customHeight="1">
      <c r="C73" s="45"/>
      <c r="D73" s="45"/>
    </row>
    <row r="74" spans="3:4" s="22" customFormat="1" ht="12.95" customHeight="1">
      <c r="C74" s="45"/>
      <c r="D74" s="45"/>
    </row>
    <row r="75" spans="3:4" s="22" customFormat="1" ht="12.95" customHeight="1">
      <c r="C75" s="45"/>
      <c r="D75" s="45"/>
    </row>
    <row r="76" spans="3:4" s="22" customFormat="1" ht="12.95" customHeight="1">
      <c r="C76" s="45"/>
      <c r="D76" s="45"/>
    </row>
    <row r="77" spans="3:4" s="22" customFormat="1" ht="12.95" customHeight="1">
      <c r="C77" s="45"/>
      <c r="D77" s="45"/>
    </row>
    <row r="78" spans="3:4" s="22" customFormat="1" ht="12.95" customHeight="1">
      <c r="C78" s="45"/>
      <c r="D78" s="45"/>
    </row>
    <row r="79" spans="3:4" s="22" customFormat="1" ht="12.95" customHeight="1">
      <c r="C79" s="45"/>
      <c r="D79" s="45"/>
    </row>
    <row r="80" spans="3:4" s="22" customFormat="1" ht="12.95" customHeight="1">
      <c r="C80" s="45"/>
      <c r="D80" s="45"/>
    </row>
    <row r="81" spans="3:4" s="22" customFormat="1" ht="12.95" customHeight="1">
      <c r="C81" s="45"/>
      <c r="D81" s="45"/>
    </row>
    <row r="82" spans="3:4" s="22" customFormat="1" ht="12.95" customHeight="1">
      <c r="C82" s="45"/>
      <c r="D82" s="45"/>
    </row>
    <row r="83" spans="3:4" s="22" customFormat="1" ht="12.95" customHeight="1">
      <c r="C83" s="45"/>
      <c r="D83" s="45"/>
    </row>
    <row r="84" spans="3:4" s="22" customFormat="1" ht="12.95" customHeight="1">
      <c r="C84" s="45"/>
      <c r="D84" s="45"/>
    </row>
    <row r="85" spans="3:4" s="22" customFormat="1" ht="12.95" customHeight="1">
      <c r="C85" s="45"/>
      <c r="D85" s="45"/>
    </row>
    <row r="86" spans="3:4" s="22" customFormat="1" ht="12.95" customHeight="1">
      <c r="C86" s="45"/>
      <c r="D86" s="45"/>
    </row>
    <row r="87" spans="3:4" s="22" customFormat="1" ht="12.95" customHeight="1">
      <c r="C87" s="45"/>
      <c r="D87" s="45"/>
    </row>
    <row r="88" spans="3:4" s="22" customFormat="1" ht="12.95" customHeight="1">
      <c r="C88" s="45"/>
      <c r="D88" s="45"/>
    </row>
    <row r="89" spans="3:4" s="22" customFormat="1" ht="12.95" customHeight="1">
      <c r="C89" s="45"/>
      <c r="D89" s="45"/>
    </row>
    <row r="90" spans="3:4" s="22" customFormat="1" ht="12.95" customHeight="1">
      <c r="C90" s="45"/>
      <c r="D90" s="45"/>
    </row>
    <row r="91" spans="3:4" s="22" customFormat="1" ht="12.95" customHeight="1">
      <c r="C91" s="45"/>
      <c r="D91" s="45"/>
    </row>
    <row r="92" spans="3:4" s="22" customFormat="1" ht="12.95" customHeight="1">
      <c r="C92" s="45"/>
      <c r="D92" s="45"/>
    </row>
    <row r="93" spans="3:4" s="22" customFormat="1" ht="12.95" customHeight="1">
      <c r="C93" s="45"/>
      <c r="D93" s="45"/>
    </row>
    <row r="94" spans="3:4" s="22" customFormat="1" ht="12.95" customHeight="1">
      <c r="C94" s="45"/>
      <c r="D94" s="45"/>
    </row>
    <row r="95" spans="3:4" s="22" customFormat="1" ht="12.95" customHeight="1">
      <c r="C95" s="45"/>
      <c r="D95" s="45"/>
    </row>
    <row r="96" spans="3:4" s="22" customFormat="1" ht="12.95" customHeight="1">
      <c r="C96" s="45"/>
      <c r="D96" s="45"/>
    </row>
    <row r="97" spans="3:4" s="22" customFormat="1" ht="12.95" customHeight="1">
      <c r="C97" s="45"/>
      <c r="D97" s="45"/>
    </row>
    <row r="98" spans="3:4" s="22" customFormat="1" ht="12.95" customHeight="1">
      <c r="C98" s="45"/>
      <c r="D98" s="45"/>
    </row>
    <row r="99" spans="3:4" s="22" customFormat="1" ht="12.95" customHeight="1">
      <c r="C99" s="45"/>
      <c r="D99" s="45"/>
    </row>
    <row r="100" spans="3:4" s="22" customFormat="1" ht="12.95" customHeight="1">
      <c r="C100" s="45"/>
      <c r="D100" s="45"/>
    </row>
    <row r="101" spans="3:4" s="22" customFormat="1" ht="12.95" customHeight="1">
      <c r="C101" s="45"/>
      <c r="D101" s="45"/>
    </row>
    <row r="102" spans="3:4" s="22" customFormat="1" ht="12.95" customHeight="1">
      <c r="C102" s="45"/>
      <c r="D102" s="45"/>
    </row>
    <row r="103" spans="3:4" s="22" customFormat="1" ht="12.95" customHeight="1">
      <c r="C103" s="45"/>
      <c r="D103" s="45"/>
    </row>
    <row r="104" spans="3:4" s="22" customFormat="1" ht="12.95" customHeight="1">
      <c r="C104" s="45"/>
      <c r="D104" s="45"/>
    </row>
    <row r="105" spans="3:4" s="22" customFormat="1" ht="12.95" customHeight="1">
      <c r="C105" s="45"/>
      <c r="D105" s="45"/>
    </row>
    <row r="106" spans="3:4" s="22" customFormat="1" ht="12.95" customHeight="1">
      <c r="C106" s="45"/>
      <c r="D106" s="45"/>
    </row>
    <row r="107" spans="3:4" s="22" customFormat="1" ht="12.95" customHeight="1">
      <c r="C107" s="45"/>
      <c r="D107" s="45"/>
    </row>
    <row r="108" spans="3:4" s="22" customFormat="1" ht="12.95" customHeight="1">
      <c r="C108" s="45"/>
      <c r="D108" s="45"/>
    </row>
    <row r="109" spans="3:4" s="22" customFormat="1" ht="12.95" customHeight="1">
      <c r="C109" s="45"/>
      <c r="D109" s="45"/>
    </row>
    <row r="110" spans="3:4" s="22" customFormat="1" ht="12.95" customHeight="1">
      <c r="C110" s="45"/>
      <c r="D110" s="45"/>
    </row>
    <row r="111" spans="3:4" s="22" customFormat="1" ht="12.95" customHeight="1">
      <c r="C111" s="45"/>
      <c r="D111" s="45"/>
    </row>
    <row r="112" spans="3:4" s="22" customFormat="1" ht="12.95" customHeight="1">
      <c r="C112" s="45"/>
      <c r="D112" s="45"/>
    </row>
    <row r="113" spans="3:4" s="22" customFormat="1" ht="12.95" customHeight="1">
      <c r="C113" s="45"/>
      <c r="D113" s="45"/>
    </row>
    <row r="114" spans="3:4" s="22" customFormat="1" ht="12.95" customHeight="1">
      <c r="C114" s="45"/>
      <c r="D114" s="45"/>
    </row>
    <row r="115" spans="3:4" s="22" customFormat="1" ht="12.95" customHeight="1">
      <c r="C115" s="45"/>
      <c r="D115" s="45"/>
    </row>
    <row r="116" spans="3:4" s="22" customFormat="1" ht="12.95" customHeight="1">
      <c r="C116" s="45"/>
      <c r="D116" s="45"/>
    </row>
    <row r="117" spans="3:4" s="22" customFormat="1" ht="12.95" customHeight="1">
      <c r="C117" s="45"/>
      <c r="D117" s="45"/>
    </row>
    <row r="118" spans="3:4" s="22" customFormat="1" ht="12.95" customHeight="1">
      <c r="C118" s="45"/>
      <c r="D118" s="45"/>
    </row>
    <row r="119" spans="3:4" s="22" customFormat="1" ht="12.95" customHeight="1">
      <c r="C119" s="45"/>
      <c r="D119" s="45"/>
    </row>
    <row r="120" spans="3:4" s="22" customFormat="1" ht="12.95" customHeight="1">
      <c r="C120" s="45"/>
      <c r="D120" s="45"/>
    </row>
    <row r="121" spans="3:4" s="22" customFormat="1" ht="12.95" customHeight="1">
      <c r="C121" s="45"/>
      <c r="D121" s="45"/>
    </row>
    <row r="122" spans="3:4" s="22" customFormat="1" ht="12.95" customHeight="1">
      <c r="C122" s="45"/>
      <c r="D122" s="45"/>
    </row>
    <row r="123" spans="3:4" s="22" customFormat="1" ht="12.95" customHeight="1">
      <c r="C123" s="45"/>
      <c r="D123" s="45"/>
    </row>
    <row r="124" spans="3:4" s="22" customFormat="1" ht="12.95" customHeight="1">
      <c r="C124" s="45"/>
      <c r="D124" s="45"/>
    </row>
    <row r="125" spans="3:4" s="22" customFormat="1" ht="12.95" customHeight="1">
      <c r="C125" s="45"/>
      <c r="D125" s="45"/>
    </row>
    <row r="126" spans="3:4" s="22" customFormat="1" ht="12.95" customHeight="1">
      <c r="C126" s="45"/>
      <c r="D126" s="45"/>
    </row>
    <row r="127" spans="3:4" s="22" customFormat="1" ht="12.95" customHeight="1">
      <c r="C127" s="45"/>
      <c r="D127" s="45"/>
    </row>
    <row r="128" spans="3:4" s="22" customFormat="1" ht="12.95" customHeight="1">
      <c r="C128" s="45"/>
      <c r="D128" s="45"/>
    </row>
    <row r="129" spans="3:4" s="22" customFormat="1" ht="12.95" customHeight="1">
      <c r="C129" s="45"/>
      <c r="D129" s="45"/>
    </row>
    <row r="130" spans="3:4" s="22" customFormat="1" ht="12.95" customHeight="1">
      <c r="C130" s="45"/>
      <c r="D130" s="45"/>
    </row>
    <row r="131" spans="3:4" s="22" customFormat="1" ht="12.95" customHeight="1">
      <c r="C131" s="45"/>
      <c r="D131" s="45"/>
    </row>
    <row r="132" spans="3:4" s="22" customFormat="1" ht="12.95" customHeight="1">
      <c r="C132" s="45"/>
      <c r="D132" s="45"/>
    </row>
    <row r="133" spans="3:4" s="22" customFormat="1" ht="12.95" customHeight="1">
      <c r="C133" s="45"/>
      <c r="D133" s="45"/>
    </row>
    <row r="134" spans="3:4" s="22" customFormat="1" ht="12.95" customHeight="1">
      <c r="C134" s="45"/>
      <c r="D134" s="45"/>
    </row>
    <row r="135" spans="3:4" s="22" customFormat="1" ht="12.95" customHeight="1">
      <c r="C135" s="45"/>
      <c r="D135" s="45"/>
    </row>
    <row r="136" spans="3:4" s="22" customFormat="1" ht="12.95" customHeight="1">
      <c r="C136" s="45"/>
      <c r="D136" s="45"/>
    </row>
    <row r="137" spans="3:4" s="22" customFormat="1" ht="12.95" customHeight="1">
      <c r="C137" s="45"/>
      <c r="D137" s="45"/>
    </row>
    <row r="138" spans="3:4" s="22" customFormat="1" ht="12.95" customHeight="1">
      <c r="C138" s="45"/>
      <c r="D138" s="45"/>
    </row>
    <row r="139" spans="3:4" s="22" customFormat="1" ht="12.95" customHeight="1">
      <c r="C139" s="45"/>
      <c r="D139" s="45"/>
    </row>
    <row r="140" spans="3:4" s="22" customFormat="1" ht="12.95" customHeight="1">
      <c r="C140" s="45"/>
      <c r="D140" s="45"/>
    </row>
    <row r="141" spans="3:4" s="22" customFormat="1" ht="12.95" customHeight="1">
      <c r="C141" s="45"/>
      <c r="D141" s="45"/>
    </row>
    <row r="142" spans="3:4" s="22" customFormat="1" ht="12.95" customHeight="1">
      <c r="C142" s="45"/>
      <c r="D142" s="45"/>
    </row>
    <row r="143" spans="3:4" s="22" customFormat="1" ht="12.95" customHeight="1">
      <c r="C143" s="45"/>
      <c r="D143" s="45"/>
    </row>
    <row r="144" spans="3:4" s="22" customFormat="1" ht="12.95" customHeight="1">
      <c r="C144" s="45"/>
      <c r="D144" s="45"/>
    </row>
    <row r="145" spans="3:4" s="22" customFormat="1" ht="12.95" customHeight="1">
      <c r="C145" s="45"/>
      <c r="D145" s="45"/>
    </row>
    <row r="146" spans="3:4" s="22" customFormat="1" ht="12.95" customHeight="1">
      <c r="C146" s="45"/>
      <c r="D146" s="45"/>
    </row>
    <row r="147" spans="3:4" s="22" customFormat="1" ht="12.95" customHeight="1">
      <c r="C147" s="45"/>
      <c r="D147" s="45"/>
    </row>
    <row r="148" spans="3:4" s="22" customFormat="1" ht="12.95" customHeight="1">
      <c r="C148" s="45"/>
      <c r="D148" s="45"/>
    </row>
    <row r="149" spans="3:4" s="22" customFormat="1" ht="12.95" customHeight="1">
      <c r="C149" s="45"/>
      <c r="D149" s="45"/>
    </row>
    <row r="150" spans="3:4" s="22" customFormat="1" ht="12.95" customHeight="1">
      <c r="C150" s="45"/>
      <c r="D150" s="45"/>
    </row>
    <row r="151" spans="3:4" s="22" customFormat="1" ht="12.95" customHeight="1">
      <c r="C151" s="45"/>
      <c r="D151" s="45"/>
    </row>
    <row r="152" spans="3:4" s="22" customFormat="1" ht="12.95" customHeight="1">
      <c r="C152" s="45"/>
      <c r="D152" s="45"/>
    </row>
    <row r="153" spans="3:4" s="22" customFormat="1" ht="12.95" customHeight="1">
      <c r="C153" s="45"/>
      <c r="D153" s="45"/>
    </row>
    <row r="154" spans="3:4" s="22" customFormat="1" ht="12.95" customHeight="1">
      <c r="C154" s="45"/>
      <c r="D154" s="45"/>
    </row>
    <row r="155" spans="3:4" s="22" customFormat="1" ht="12.95" customHeight="1">
      <c r="C155" s="45"/>
      <c r="D155" s="45"/>
    </row>
    <row r="156" spans="3:4" s="22" customFormat="1" ht="12.95" customHeight="1">
      <c r="C156" s="45"/>
      <c r="D156" s="45"/>
    </row>
    <row r="157" spans="3:4" s="22" customFormat="1" ht="12.95" customHeight="1">
      <c r="C157" s="45"/>
      <c r="D157" s="45"/>
    </row>
    <row r="158" spans="3:4" s="22" customFormat="1" ht="12.95" customHeight="1">
      <c r="C158" s="45"/>
      <c r="D158" s="45"/>
    </row>
    <row r="159" spans="3:4" s="22" customFormat="1" ht="12.95" customHeight="1">
      <c r="C159" s="45"/>
      <c r="D159" s="45"/>
    </row>
    <row r="160" spans="3:4" s="22" customFormat="1" ht="12.95" customHeight="1">
      <c r="C160" s="45"/>
      <c r="D160" s="45"/>
    </row>
    <row r="161" spans="3:4" s="22" customFormat="1" ht="12.95" customHeight="1">
      <c r="C161" s="45"/>
      <c r="D161" s="45"/>
    </row>
    <row r="162" spans="3:4" s="22" customFormat="1" ht="12.95" customHeight="1">
      <c r="C162" s="45"/>
      <c r="D162" s="45"/>
    </row>
    <row r="163" spans="3:4" s="22" customFormat="1" ht="12.95" customHeight="1">
      <c r="C163" s="45"/>
      <c r="D163" s="45"/>
    </row>
    <row r="164" spans="3:4" s="22" customFormat="1" ht="12.95" customHeight="1">
      <c r="C164" s="45"/>
      <c r="D164" s="45"/>
    </row>
    <row r="165" spans="3:4" s="22" customFormat="1" ht="12.95" customHeight="1">
      <c r="C165" s="45"/>
      <c r="D165" s="45"/>
    </row>
    <row r="166" spans="3:4" s="22" customFormat="1" ht="12.95" customHeight="1">
      <c r="C166" s="45"/>
      <c r="D166" s="45"/>
    </row>
    <row r="167" spans="3:4" s="22" customFormat="1" ht="12.95" customHeight="1">
      <c r="C167" s="45"/>
      <c r="D167" s="45"/>
    </row>
    <row r="168" spans="3:4" s="22" customFormat="1" ht="12.95" customHeight="1">
      <c r="C168" s="45"/>
      <c r="D168" s="45"/>
    </row>
    <row r="169" spans="3:4" s="22" customFormat="1" ht="12.95" customHeight="1">
      <c r="C169" s="45"/>
      <c r="D169" s="45"/>
    </row>
    <row r="170" spans="3:4" s="22" customFormat="1" ht="12.95" customHeight="1">
      <c r="C170" s="45"/>
      <c r="D170" s="45"/>
    </row>
    <row r="171" spans="3:4" s="22" customFormat="1" ht="12.95" customHeight="1">
      <c r="C171" s="45"/>
      <c r="D171" s="45"/>
    </row>
    <row r="172" spans="3:4" s="22" customFormat="1" ht="12.95" customHeight="1">
      <c r="C172" s="45"/>
      <c r="D172" s="45"/>
    </row>
    <row r="173" spans="3:4" s="22" customFormat="1" ht="12.95" customHeight="1">
      <c r="C173" s="45"/>
      <c r="D173" s="45"/>
    </row>
    <row r="174" spans="3:4" s="22" customFormat="1" ht="12.95" customHeight="1">
      <c r="C174" s="45"/>
      <c r="D174" s="45"/>
    </row>
    <row r="175" spans="3:4" s="22" customFormat="1">
      <c r="C175" s="45"/>
      <c r="D175" s="45"/>
    </row>
    <row r="176" spans="3:4" s="22" customFormat="1">
      <c r="C176" s="45"/>
      <c r="D176" s="45"/>
    </row>
    <row r="177" spans="3:4" s="22" customFormat="1">
      <c r="C177" s="45"/>
      <c r="D177" s="45"/>
    </row>
    <row r="178" spans="3:4" s="22" customFormat="1">
      <c r="C178" s="45"/>
      <c r="D178" s="45"/>
    </row>
    <row r="179" spans="3:4" s="22" customFormat="1">
      <c r="C179" s="45"/>
      <c r="D179" s="45"/>
    </row>
    <row r="180" spans="3:4" s="22" customFormat="1">
      <c r="C180" s="45"/>
      <c r="D180" s="45"/>
    </row>
    <row r="181" spans="3:4" s="22" customFormat="1">
      <c r="C181" s="45"/>
      <c r="D181" s="45"/>
    </row>
    <row r="182" spans="3:4" s="22" customFormat="1">
      <c r="C182" s="45"/>
      <c r="D182" s="45"/>
    </row>
    <row r="183" spans="3:4" s="22" customFormat="1">
      <c r="C183" s="45"/>
      <c r="D183" s="45"/>
    </row>
    <row r="184" spans="3:4" s="22" customFormat="1">
      <c r="C184" s="45"/>
      <c r="D184" s="45"/>
    </row>
    <row r="185" spans="3:4" s="22" customFormat="1">
      <c r="C185" s="45"/>
      <c r="D185" s="45"/>
    </row>
    <row r="186" spans="3:4" s="22" customFormat="1">
      <c r="C186" s="45"/>
      <c r="D186" s="45"/>
    </row>
    <row r="187" spans="3:4" s="22" customFormat="1">
      <c r="C187" s="45"/>
      <c r="D187" s="45"/>
    </row>
    <row r="188" spans="3:4" s="22" customFormat="1">
      <c r="C188" s="45"/>
      <c r="D188" s="45"/>
    </row>
    <row r="189" spans="3:4" s="22" customFormat="1">
      <c r="C189" s="45"/>
      <c r="D189" s="45"/>
    </row>
    <row r="190" spans="3:4" s="22" customFormat="1">
      <c r="C190" s="45"/>
      <c r="D190" s="45"/>
    </row>
    <row r="191" spans="3:4" s="22" customFormat="1">
      <c r="C191" s="45"/>
      <c r="D191" s="45"/>
    </row>
    <row r="192" spans="3:4" s="22" customFormat="1">
      <c r="C192" s="45"/>
      <c r="D192" s="45"/>
    </row>
    <row r="193" spans="3:4" s="22" customFormat="1">
      <c r="C193" s="45"/>
      <c r="D193" s="45"/>
    </row>
    <row r="194" spans="3:4" s="22" customFormat="1">
      <c r="C194" s="45"/>
      <c r="D194" s="45"/>
    </row>
    <row r="195" spans="3:4" s="22" customFormat="1">
      <c r="C195" s="45"/>
      <c r="D195" s="45"/>
    </row>
    <row r="196" spans="3:4" s="22" customFormat="1">
      <c r="C196" s="45"/>
      <c r="D196" s="45"/>
    </row>
    <row r="197" spans="3:4" s="22" customFormat="1">
      <c r="C197" s="45"/>
      <c r="D197" s="45"/>
    </row>
    <row r="198" spans="3:4" s="22" customFormat="1">
      <c r="C198" s="45"/>
      <c r="D198" s="45"/>
    </row>
    <row r="199" spans="3:4" s="22" customFormat="1">
      <c r="C199" s="45"/>
      <c r="D199" s="45"/>
    </row>
    <row r="200" spans="3:4" s="22" customFormat="1">
      <c r="C200" s="45"/>
      <c r="D200" s="45"/>
    </row>
    <row r="201" spans="3:4" s="22" customFormat="1">
      <c r="C201" s="45"/>
      <c r="D201" s="45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honeticPr fontId="7" type="noConversion"/>
  <hyperlinks>
    <hyperlink ref="H142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1"/>
  <sheetViews>
    <sheetView workbookViewId="0">
      <selection activeCell="A11" sqref="A11:IV448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7" t="s">
        <v>49</v>
      </c>
      <c r="I1" s="8" t="s">
        <v>50</v>
      </c>
      <c r="J1" s="9" t="s">
        <v>51</v>
      </c>
    </row>
    <row r="2" spans="1:16">
      <c r="I2" s="10" t="s">
        <v>52</v>
      </c>
      <c r="J2" s="11" t="s">
        <v>53</v>
      </c>
    </row>
    <row r="3" spans="1:16">
      <c r="A3" s="12" t="s">
        <v>54</v>
      </c>
      <c r="I3" s="10" t="s">
        <v>55</v>
      </c>
      <c r="J3" s="11" t="s">
        <v>56</v>
      </c>
    </row>
    <row r="4" spans="1:16">
      <c r="I4" s="10" t="s">
        <v>57</v>
      </c>
      <c r="J4" s="11" t="s">
        <v>56</v>
      </c>
    </row>
    <row r="5" spans="1:16" ht="13.5" thickBot="1">
      <c r="I5" s="13" t="s">
        <v>58</v>
      </c>
      <c r="J5" s="14" t="s">
        <v>59</v>
      </c>
    </row>
    <row r="10" spans="1:16" ht="13.5" thickBot="1"/>
    <row r="11" spans="1:16" ht="12.75" customHeight="1" thickBot="1">
      <c r="A11" s="3" t="str">
        <f t="shared" ref="A11:A19" si="0">P11</f>
        <v>IBVS 5894 </v>
      </c>
      <c r="B11" s="2" t="str">
        <f t="shared" ref="B11:B19" si="1">IF(H11=INT(H11),"I","II")</f>
        <v>I</v>
      </c>
      <c r="C11" s="3">
        <f t="shared" ref="C11:C19" si="2">1*G11</f>
        <v>54889.623</v>
      </c>
      <c r="D11" s="4" t="str">
        <f t="shared" ref="D11:D19" si="3">VLOOKUP(F11,I$1:J$5,2,FALSE)</f>
        <v>vis</v>
      </c>
      <c r="E11" s="15">
        <f>VLOOKUP(C11,Active!C$21:E$973,3,FALSE)</f>
        <v>4323.9947353727157</v>
      </c>
      <c r="F11" s="2" t="s">
        <v>58</v>
      </c>
      <c r="G11" s="4" t="str">
        <f t="shared" ref="G11:G19" si="4">MID(I11,3,LEN(I11)-3)</f>
        <v>54889.623</v>
      </c>
      <c r="H11" s="3">
        <f t="shared" ref="H11:H19" si="5">1*K11</f>
        <v>-2235</v>
      </c>
      <c r="I11" s="16" t="s">
        <v>60</v>
      </c>
      <c r="J11" s="17" t="s">
        <v>61</v>
      </c>
      <c r="K11" s="16">
        <v>-2235</v>
      </c>
      <c r="L11" s="16" t="s">
        <v>62</v>
      </c>
      <c r="M11" s="17" t="s">
        <v>63</v>
      </c>
      <c r="N11" s="17" t="s">
        <v>58</v>
      </c>
      <c r="O11" s="18" t="s">
        <v>64</v>
      </c>
      <c r="P11" s="19" t="s">
        <v>65</v>
      </c>
    </row>
    <row r="12" spans="1:16" ht="12.75" customHeight="1" thickBot="1">
      <c r="A12" s="3" t="str">
        <f t="shared" si="0"/>
        <v>IBVS 5966 </v>
      </c>
      <c r="B12" s="2" t="str">
        <f t="shared" si="1"/>
        <v>I</v>
      </c>
      <c r="C12" s="3">
        <f t="shared" si="2"/>
        <v>55264.713100000001</v>
      </c>
      <c r="D12" s="4" t="str">
        <f t="shared" si="3"/>
        <v>vis</v>
      </c>
      <c r="E12" s="15">
        <f>VLOOKUP(C12,Active!C$21:E$973,3,FALSE)</f>
        <v>5071.9907869022518</v>
      </c>
      <c r="F12" s="2" t="s">
        <v>58</v>
      </c>
      <c r="G12" s="4" t="str">
        <f t="shared" si="4"/>
        <v>55264.7131</v>
      </c>
      <c r="H12" s="3">
        <f t="shared" si="5"/>
        <v>-1487</v>
      </c>
      <c r="I12" s="16" t="s">
        <v>66</v>
      </c>
      <c r="J12" s="17" t="s">
        <v>67</v>
      </c>
      <c r="K12" s="16">
        <v>-1487</v>
      </c>
      <c r="L12" s="16" t="s">
        <v>68</v>
      </c>
      <c r="M12" s="17" t="s">
        <v>63</v>
      </c>
      <c r="N12" s="17" t="s">
        <v>50</v>
      </c>
      <c r="O12" s="18" t="s">
        <v>69</v>
      </c>
      <c r="P12" s="19" t="s">
        <v>70</v>
      </c>
    </row>
    <row r="13" spans="1:16" ht="12.75" customHeight="1" thickBot="1">
      <c r="A13" s="3" t="str">
        <f t="shared" si="0"/>
        <v>BAVM 220 </v>
      </c>
      <c r="B13" s="2" t="str">
        <f t="shared" si="1"/>
        <v>II</v>
      </c>
      <c r="C13" s="3">
        <f t="shared" si="2"/>
        <v>55625.516900000002</v>
      </c>
      <c r="D13" s="4" t="str">
        <f t="shared" si="3"/>
        <v>vis</v>
      </c>
      <c r="E13" s="15">
        <f>VLOOKUP(C13,Active!C$21:E$973,3,FALSE)</f>
        <v>5791.4974275116756</v>
      </c>
      <c r="F13" s="2" t="s">
        <v>58</v>
      </c>
      <c r="G13" s="4" t="str">
        <f t="shared" si="4"/>
        <v>55625.5169</v>
      </c>
      <c r="H13" s="3">
        <f t="shared" si="5"/>
        <v>-767.5</v>
      </c>
      <c r="I13" s="16" t="s">
        <v>71</v>
      </c>
      <c r="J13" s="17" t="s">
        <v>72</v>
      </c>
      <c r="K13" s="16">
        <v>-767.5</v>
      </c>
      <c r="L13" s="16" t="s">
        <v>73</v>
      </c>
      <c r="M13" s="17" t="s">
        <v>63</v>
      </c>
      <c r="N13" s="17" t="s">
        <v>74</v>
      </c>
      <c r="O13" s="18" t="s">
        <v>75</v>
      </c>
      <c r="P13" s="19" t="s">
        <v>76</v>
      </c>
    </row>
    <row r="14" spans="1:16" ht="12.75" customHeight="1" thickBot="1">
      <c r="A14" s="3" t="str">
        <f t="shared" si="0"/>
        <v>OEJV 0160 </v>
      </c>
      <c r="B14" s="2" t="str">
        <f t="shared" si="1"/>
        <v>I</v>
      </c>
      <c r="C14" s="3">
        <f t="shared" si="2"/>
        <v>55629.275150000001</v>
      </c>
      <c r="D14" s="4" t="str">
        <f t="shared" si="3"/>
        <v>vis</v>
      </c>
      <c r="E14" s="15">
        <f>VLOOKUP(C14,Active!C$21:E$973,3,FALSE)</f>
        <v>5798.9920432337649</v>
      </c>
      <c r="F14" s="2" t="s">
        <v>58</v>
      </c>
      <c r="G14" s="4" t="str">
        <f t="shared" si="4"/>
        <v>55629.27515</v>
      </c>
      <c r="H14" s="3">
        <f t="shared" si="5"/>
        <v>-760</v>
      </c>
      <c r="I14" s="16" t="s">
        <v>77</v>
      </c>
      <c r="J14" s="17" t="s">
        <v>78</v>
      </c>
      <c r="K14" s="16" t="s">
        <v>79</v>
      </c>
      <c r="L14" s="16" t="s">
        <v>80</v>
      </c>
      <c r="M14" s="17" t="s">
        <v>63</v>
      </c>
      <c r="N14" s="17" t="s">
        <v>81</v>
      </c>
      <c r="O14" s="18" t="s">
        <v>82</v>
      </c>
      <c r="P14" s="19" t="s">
        <v>83</v>
      </c>
    </row>
    <row r="15" spans="1:16" ht="12.75" customHeight="1" thickBot="1">
      <c r="A15" s="3" t="str">
        <f t="shared" si="0"/>
        <v>OEJV 0160 </v>
      </c>
      <c r="B15" s="2" t="str">
        <f t="shared" si="1"/>
        <v>I</v>
      </c>
      <c r="C15" s="3">
        <f t="shared" si="2"/>
        <v>55649.333100000003</v>
      </c>
      <c r="D15" s="4" t="str">
        <f t="shared" si="3"/>
        <v>vis</v>
      </c>
      <c r="E15" s="15">
        <f>VLOOKUP(C15,Active!C$21:E$973,3,FALSE)</f>
        <v>5838.9911458541173</v>
      </c>
      <c r="F15" s="2" t="s">
        <v>58</v>
      </c>
      <c r="G15" s="4" t="str">
        <f t="shared" si="4"/>
        <v>55649.3331</v>
      </c>
      <c r="H15" s="3">
        <f t="shared" si="5"/>
        <v>-720</v>
      </c>
      <c r="I15" s="16" t="s">
        <v>84</v>
      </c>
      <c r="J15" s="17" t="s">
        <v>85</v>
      </c>
      <c r="K15" s="16" t="s">
        <v>86</v>
      </c>
      <c r="L15" s="16" t="s">
        <v>87</v>
      </c>
      <c r="M15" s="17" t="s">
        <v>63</v>
      </c>
      <c r="N15" s="17" t="s">
        <v>50</v>
      </c>
      <c r="O15" s="18" t="s">
        <v>88</v>
      </c>
      <c r="P15" s="19" t="s">
        <v>83</v>
      </c>
    </row>
    <row r="16" spans="1:16" ht="12.75" customHeight="1" thickBot="1">
      <c r="A16" s="3" t="str">
        <f t="shared" si="0"/>
        <v>OEJV 0160 </v>
      </c>
      <c r="B16" s="2" t="str">
        <f t="shared" si="1"/>
        <v>II</v>
      </c>
      <c r="C16" s="3">
        <f t="shared" si="2"/>
        <v>55963.496319999998</v>
      </c>
      <c r="D16" s="4" t="str">
        <f t="shared" si="3"/>
        <v>vis</v>
      </c>
      <c r="E16" s="15">
        <f>VLOOKUP(C16,Active!C$21:E$973,3,FALSE)</f>
        <v>6465.4882144139128</v>
      </c>
      <c r="F16" s="2" t="s">
        <v>58</v>
      </c>
      <c r="G16" s="4" t="str">
        <f t="shared" si="4"/>
        <v>55963.49632</v>
      </c>
      <c r="H16" s="3">
        <f t="shared" si="5"/>
        <v>-93.5</v>
      </c>
      <c r="I16" s="16" t="s">
        <v>89</v>
      </c>
      <c r="J16" s="17" t="s">
        <v>90</v>
      </c>
      <c r="K16" s="16" t="s">
        <v>91</v>
      </c>
      <c r="L16" s="16" t="s">
        <v>92</v>
      </c>
      <c r="M16" s="17" t="s">
        <v>63</v>
      </c>
      <c r="N16" s="17" t="s">
        <v>81</v>
      </c>
      <c r="O16" s="18" t="s">
        <v>82</v>
      </c>
      <c r="P16" s="19" t="s">
        <v>83</v>
      </c>
    </row>
    <row r="17" spans="1:16" ht="12.75" customHeight="1" thickBot="1">
      <c r="A17" s="3" t="str">
        <f t="shared" si="0"/>
        <v>OEJV 0160 </v>
      </c>
      <c r="B17" s="2" t="str">
        <f t="shared" si="1"/>
        <v>I</v>
      </c>
      <c r="C17" s="3">
        <f t="shared" si="2"/>
        <v>56010.382570000002</v>
      </c>
      <c r="D17" s="4" t="str">
        <f t="shared" si="3"/>
        <v>vis</v>
      </c>
      <c r="E17" s="15">
        <f>VLOOKUP(C17,Active!C$21:E$973,3,FALSE)</f>
        <v>6558.9876959278981</v>
      </c>
      <c r="F17" s="2" t="s">
        <v>58</v>
      </c>
      <c r="G17" s="4" t="str">
        <f t="shared" si="4"/>
        <v>56010.38257</v>
      </c>
      <c r="H17" s="3">
        <f t="shared" si="5"/>
        <v>0</v>
      </c>
      <c r="I17" s="16" t="s">
        <v>93</v>
      </c>
      <c r="J17" s="17" t="s">
        <v>94</v>
      </c>
      <c r="K17" s="16" t="s">
        <v>95</v>
      </c>
      <c r="L17" s="16" t="s">
        <v>96</v>
      </c>
      <c r="M17" s="17" t="s">
        <v>63</v>
      </c>
      <c r="N17" s="17" t="s">
        <v>81</v>
      </c>
      <c r="O17" s="18" t="s">
        <v>82</v>
      </c>
      <c r="P17" s="19" t="s">
        <v>83</v>
      </c>
    </row>
    <row r="18" spans="1:16" ht="12.75" customHeight="1" thickBot="1">
      <c r="A18" s="3" t="str">
        <f t="shared" si="0"/>
        <v>IBVS 6092 </v>
      </c>
      <c r="B18" s="2" t="str">
        <f t="shared" si="1"/>
        <v>II</v>
      </c>
      <c r="C18" s="3">
        <f t="shared" si="2"/>
        <v>56374.6944</v>
      </c>
      <c r="D18" s="4" t="str">
        <f t="shared" si="3"/>
        <v>vis</v>
      </c>
      <c r="E18" s="15">
        <f>VLOOKUP(C18,Active!C$21:E$973,3,FALSE)</f>
        <v>7285.4899692896797</v>
      </c>
      <c r="F18" s="2" t="s">
        <v>58</v>
      </c>
      <c r="G18" s="4" t="str">
        <f t="shared" si="4"/>
        <v>56374.6944</v>
      </c>
      <c r="H18" s="3">
        <f t="shared" si="5"/>
        <v>726.5</v>
      </c>
      <c r="I18" s="16" t="s">
        <v>97</v>
      </c>
      <c r="J18" s="17" t="s">
        <v>98</v>
      </c>
      <c r="K18" s="16" t="s">
        <v>99</v>
      </c>
      <c r="L18" s="16" t="s">
        <v>100</v>
      </c>
      <c r="M18" s="17" t="s">
        <v>63</v>
      </c>
      <c r="N18" s="17" t="s">
        <v>50</v>
      </c>
      <c r="O18" s="18" t="s">
        <v>69</v>
      </c>
      <c r="P18" s="19" t="s">
        <v>101</v>
      </c>
    </row>
    <row r="19" spans="1:16" ht="12.75" customHeight="1" thickBot="1">
      <c r="A19" s="3" t="str">
        <f t="shared" si="0"/>
        <v>BAVM 239 </v>
      </c>
      <c r="B19" s="2" t="str">
        <f t="shared" si="1"/>
        <v>I</v>
      </c>
      <c r="C19" s="3">
        <f t="shared" si="2"/>
        <v>57074.478600000002</v>
      </c>
      <c r="D19" s="4" t="str">
        <f t="shared" si="3"/>
        <v>vis</v>
      </c>
      <c r="E19" s="15">
        <f>VLOOKUP(C19,Active!C$21:E$973,3,FALSE)</f>
        <v>8680.9835280979623</v>
      </c>
      <c r="F19" s="2" t="s">
        <v>58</v>
      </c>
      <c r="G19" s="4" t="str">
        <f t="shared" si="4"/>
        <v>57074.4786</v>
      </c>
      <c r="H19" s="3">
        <f t="shared" si="5"/>
        <v>2122</v>
      </c>
      <c r="I19" s="16" t="s">
        <v>102</v>
      </c>
      <c r="J19" s="17" t="s">
        <v>103</v>
      </c>
      <c r="K19" s="16" t="s">
        <v>104</v>
      </c>
      <c r="L19" s="16" t="s">
        <v>105</v>
      </c>
      <c r="M19" s="17" t="s">
        <v>63</v>
      </c>
      <c r="N19" s="17" t="s">
        <v>74</v>
      </c>
      <c r="O19" s="18" t="s">
        <v>75</v>
      </c>
      <c r="P19" s="19" t="s">
        <v>106</v>
      </c>
    </row>
    <row r="20" spans="1:16">
      <c r="B20" s="2"/>
      <c r="F20" s="2"/>
    </row>
    <row r="21" spans="1:16">
      <c r="B21" s="2"/>
      <c r="F21" s="2"/>
    </row>
    <row r="22" spans="1:16">
      <c r="B22" s="2"/>
      <c r="F22" s="2"/>
    </row>
    <row r="23" spans="1:16">
      <c r="B23" s="2"/>
      <c r="F23" s="2"/>
    </row>
    <row r="24" spans="1:16">
      <c r="B24" s="2"/>
      <c r="F24" s="2"/>
    </row>
    <row r="25" spans="1:16">
      <c r="B25" s="2"/>
      <c r="F25" s="2"/>
    </row>
    <row r="26" spans="1:16">
      <c r="B26" s="2"/>
      <c r="F26" s="2"/>
    </row>
    <row r="27" spans="1:16">
      <c r="B27" s="2"/>
      <c r="F27" s="2"/>
    </row>
    <row r="28" spans="1:16">
      <c r="B28" s="2"/>
      <c r="F28" s="2"/>
    </row>
    <row r="29" spans="1:16">
      <c r="B29" s="2"/>
      <c r="F29" s="2"/>
    </row>
    <row r="30" spans="1:16">
      <c r="B30" s="2"/>
      <c r="F30" s="2"/>
    </row>
    <row r="31" spans="1:16">
      <c r="B31" s="2"/>
      <c r="F31" s="2"/>
    </row>
    <row r="32" spans="1:16">
      <c r="B32" s="2"/>
      <c r="F32" s="2"/>
    </row>
    <row r="33" spans="2:6">
      <c r="B33" s="2"/>
      <c r="F33" s="2"/>
    </row>
    <row r="34" spans="2:6">
      <c r="B34" s="2"/>
      <c r="F34" s="2"/>
    </row>
    <row r="35" spans="2:6">
      <c r="B35" s="2"/>
      <c r="F35" s="2"/>
    </row>
    <row r="36" spans="2:6">
      <c r="B36" s="2"/>
      <c r="F36" s="2"/>
    </row>
    <row r="37" spans="2:6">
      <c r="B37" s="2"/>
      <c r="F37" s="2"/>
    </row>
    <row r="38" spans="2:6">
      <c r="B38" s="2"/>
      <c r="F38" s="2"/>
    </row>
    <row r="39" spans="2:6">
      <c r="B39" s="2"/>
      <c r="F39" s="2"/>
    </row>
    <row r="40" spans="2:6">
      <c r="B40" s="2"/>
      <c r="F40" s="2"/>
    </row>
    <row r="41" spans="2:6">
      <c r="B41" s="2"/>
      <c r="F41" s="2"/>
    </row>
    <row r="42" spans="2:6">
      <c r="B42" s="2"/>
      <c r="F42" s="2"/>
    </row>
    <row r="43" spans="2:6">
      <c r="B43" s="2"/>
      <c r="F43" s="2"/>
    </row>
    <row r="44" spans="2:6">
      <c r="B44" s="2"/>
      <c r="F44" s="2"/>
    </row>
    <row r="45" spans="2:6">
      <c r="B45" s="2"/>
      <c r="F45" s="2"/>
    </row>
    <row r="46" spans="2:6">
      <c r="B46" s="2"/>
      <c r="F46" s="2"/>
    </row>
    <row r="47" spans="2:6">
      <c r="B47" s="2"/>
      <c r="F47" s="2"/>
    </row>
    <row r="48" spans="2:6">
      <c r="B48" s="2"/>
      <c r="F48" s="2"/>
    </row>
    <row r="49" spans="2:6">
      <c r="B49" s="2"/>
      <c r="F49" s="2"/>
    </row>
    <row r="50" spans="2:6">
      <c r="B50" s="2"/>
      <c r="F50" s="2"/>
    </row>
    <row r="51" spans="2:6">
      <c r="B51" s="2"/>
      <c r="F51" s="2"/>
    </row>
    <row r="52" spans="2:6">
      <c r="B52" s="2"/>
      <c r="F52" s="2"/>
    </row>
    <row r="53" spans="2:6">
      <c r="B53" s="2"/>
      <c r="F53" s="2"/>
    </row>
    <row r="54" spans="2:6">
      <c r="B54" s="2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</sheetData>
  <phoneticPr fontId="7" type="noConversion"/>
  <hyperlinks>
    <hyperlink ref="P11" r:id="rId1" display="http://www.konkoly.hu/cgi-bin/IBVS?5894" xr:uid="{00000000-0004-0000-0100-000000000000}"/>
    <hyperlink ref="P12" r:id="rId2" display="http://www.konkoly.hu/cgi-bin/IBVS?5966" xr:uid="{00000000-0004-0000-0100-000001000000}"/>
    <hyperlink ref="P13" r:id="rId3" display="http://www.bav-astro.de/sfs/BAVM_link.php?BAVMnr=220" xr:uid="{00000000-0004-0000-0100-000002000000}"/>
    <hyperlink ref="P14" r:id="rId4" display="http://var.astro.cz/oejv/issues/oejv0160.pdf" xr:uid="{00000000-0004-0000-0100-000003000000}"/>
    <hyperlink ref="P15" r:id="rId5" display="http://var.astro.cz/oejv/issues/oejv0160.pdf" xr:uid="{00000000-0004-0000-0100-000004000000}"/>
    <hyperlink ref="P16" r:id="rId6" display="http://var.astro.cz/oejv/issues/oejv0160.pdf" xr:uid="{00000000-0004-0000-0100-000005000000}"/>
    <hyperlink ref="P17" r:id="rId7" display="http://var.astro.cz/oejv/issues/oejv0160.pdf" xr:uid="{00000000-0004-0000-0100-000006000000}"/>
    <hyperlink ref="P18" r:id="rId8" display="http://www.konkoly.hu/cgi-bin/IBVS?6092" xr:uid="{00000000-0004-0000-0100-000007000000}"/>
    <hyperlink ref="P19" r:id="rId9" display="http://www.bav-astro.de/sfs/BAVM_link.php?BAVMnr=239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2024-02-27T00:35:33Z</dcterms:modified>
</cp:coreProperties>
</file>