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726BEA4-A796-4A64-A56D-275ECB2B1F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/>
  <c r="G28" i="1" s="1"/>
  <c r="K28" i="1" s="1"/>
  <c r="Q28" i="1"/>
  <c r="E29" i="1"/>
  <c r="F29" i="1" s="1"/>
  <c r="G29" i="1" s="1"/>
  <c r="K29" i="1" s="1"/>
  <c r="Q29" i="1"/>
  <c r="E25" i="1"/>
  <c r="F25" i="1"/>
  <c r="G25" i="1"/>
  <c r="K25" i="1"/>
  <c r="D9" i="1"/>
  <c r="C9" i="1"/>
  <c r="Q25" i="1"/>
  <c r="E22" i="1"/>
  <c r="F22" i="1"/>
  <c r="G22" i="1"/>
  <c r="K22" i="1"/>
  <c r="E23" i="1"/>
  <c r="F23" i="1"/>
  <c r="G23" i="1"/>
  <c r="K23" i="1"/>
  <c r="E24" i="1"/>
  <c r="F24" i="1"/>
  <c r="R24" i="1"/>
  <c r="Q22" i="1"/>
  <c r="Q23" i="1"/>
  <c r="Q24" i="1"/>
  <c r="C21" i="1"/>
  <c r="E21" i="1"/>
  <c r="F21" i="1"/>
  <c r="A21" i="1"/>
  <c r="F16" i="1"/>
  <c r="C17" i="1"/>
  <c r="G21" i="1"/>
  <c r="I21" i="1"/>
  <c r="Q21" i="1"/>
  <c r="C11" i="1"/>
  <c r="C12" i="1"/>
  <c r="O30" i="1" l="1"/>
  <c r="S30" i="1" s="1"/>
  <c r="O29" i="1"/>
  <c r="S29" i="1" s="1"/>
  <c r="O28" i="1"/>
  <c r="S28" i="1" s="1"/>
  <c r="O27" i="1"/>
  <c r="S27" i="1" s="1"/>
  <c r="O26" i="1"/>
  <c r="S26" i="1" s="1"/>
  <c r="C15" i="1"/>
  <c r="O25" i="1"/>
  <c r="S25" i="1" s="1"/>
  <c r="O23" i="1"/>
  <c r="S23" i="1" s="1"/>
  <c r="O24" i="1"/>
  <c r="S24" i="1" s="1"/>
  <c r="O22" i="1"/>
  <c r="S22" i="1" s="1"/>
  <c r="O21" i="1"/>
  <c r="S21" i="1" s="1"/>
  <c r="C16" i="1"/>
  <c r="D18" i="1" s="1"/>
  <c r="F17" i="1"/>
  <c r="F18" i="1" l="1"/>
  <c r="F19" i="1" s="1"/>
  <c r="S19" i="1"/>
  <c r="C18" i="1"/>
</calcChain>
</file>

<file path=xl/sharedStrings.xml><?xml version="1.0" encoding="utf-8"?>
<sst xmlns="http://schemas.openxmlformats.org/spreadsheetml/2006/main" count="69" uniqueCount="57">
  <si>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</si>
  <si>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</si>
  <si>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</si>
  <si>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</si>
  <si>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</si>
  <si>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</si>
  <si>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</si>
  <si>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</si>
  <si>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</si>
  <si>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</si>
  <si>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</si>
  <si>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</si>
  <si>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</si>
  <si>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</si>
  <si>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</si>
  <si>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</si>
  <si>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</si>
  <si>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</si>
  <si>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</si>
  <si>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</si>
  <si>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</si>
  <si>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</si>
  <si>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</si>
  <si>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</si>
  <si>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</si>
  <si>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</si>
  <si>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</si>
  <si>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</si>
  <si>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</si>
  <si>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</si>
  <si>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</si>
  <si>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</si>
  <si>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</si>
  <si>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</si>
  <si>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</si>
  <si>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</si>
  <si>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</si>
  <si>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Constell:</t>
  </si>
  <si>
    <t>G0808-1106</t>
  </si>
  <si>
    <t>G0808-1106_Cnc.xls</t>
  </si>
  <si>
    <t>NSVS</t>
  </si>
  <si>
    <t>Cnc</t>
  </si>
  <si>
    <t>VSX</t>
  </si>
  <si>
    <t>IBVS 5918</t>
  </si>
  <si>
    <t>I</t>
  </si>
  <si>
    <t>IBVS 5992</t>
  </si>
  <si>
    <t>IBVS 6029</t>
  </si>
  <si>
    <t>II</t>
  </si>
  <si>
    <t>OW Cnc / GSC 0808-1106</t>
  </si>
  <si>
    <t>RHN 2021</t>
  </si>
  <si>
    <t>pg</t>
  </si>
  <si>
    <t>vis</t>
  </si>
  <si>
    <t>PE</t>
  </si>
  <si>
    <t>CCD</t>
  </si>
  <si>
    <t>BAD?</t>
  </si>
  <si>
    <t>JBAV, 60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</si>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</sst>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OW Cnc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  <c:pt idx="9">
                  <c:v>13691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2D-4D4C-BC28-A6A0B710856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  <c:pt idx="9">
                  <c:v>13691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2D-4D4C-BC28-A6A0B710856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  <c:pt idx="9">
                  <c:v>13691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2D-4D4C-BC28-A6A0B710856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  <c:pt idx="9">
                  <c:v>13691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-2.8279998805373907E-3</c:v>
                </c:pt>
                <c:pt idx="2">
                  <c:v>-5.8459998763282783E-3</c:v>
                </c:pt>
                <c:pt idx="4">
                  <c:v>-1.6898999878321774E-2</c:v>
                </c:pt>
                <c:pt idx="5">
                  <c:v>5.2767000124731567E-2</c:v>
                </c:pt>
                <c:pt idx="6">
                  <c:v>-1.7316999881586526E-2</c:v>
                </c:pt>
                <c:pt idx="7">
                  <c:v>-1.610099988465663E-2</c:v>
                </c:pt>
                <c:pt idx="8">
                  <c:v>-1.6684999878634699E-2</c:v>
                </c:pt>
                <c:pt idx="9">
                  <c:v>-0.12032199987879721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2D-4D4C-BC28-A6A0B710856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  <c:pt idx="9">
                  <c:v>13691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2D-4D4C-BC28-A6A0B71085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  <c:pt idx="9">
                  <c:v>13691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2D-4D4C-BC28-A6A0B71085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  <c:pt idx="9">
                  <c:v>13691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2D-4D4C-BC28-A6A0B71085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  <c:pt idx="9">
                  <c:v>13691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1.1183352063184535E-2</c:v>
                </c:pt>
                <c:pt idx="1">
                  <c:v>1.4101249487214994E-3</c:v>
                </c:pt>
                <c:pt idx="2">
                  <c:v>-4.0313692052604631E-3</c:v>
                </c:pt>
                <c:pt idx="3">
                  <c:v>-6.3254863894669049E-3</c:v>
                </c:pt>
                <c:pt idx="4">
                  <c:v>-2.3128945970305868E-2</c:v>
                </c:pt>
                <c:pt idx="5">
                  <c:v>-2.3199614725552382E-2</c:v>
                </c:pt>
                <c:pt idx="6">
                  <c:v>-2.3204849448163235E-2</c:v>
                </c:pt>
                <c:pt idx="7">
                  <c:v>-2.3210084170774088E-2</c:v>
                </c:pt>
                <c:pt idx="8">
                  <c:v>-2.3215318893384948E-2</c:v>
                </c:pt>
                <c:pt idx="9">
                  <c:v>-2.4650941569411451E-2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2D-4D4C-BC28-A6A0B710856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  <c:pt idx="9">
                  <c:v>13691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3">
                  <c:v>-2.8589998764800839E-3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2D-4D4C-BC28-A6A0B7108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078368"/>
        <c:axId val="1"/>
      </c:scatterChart>
      <c:valAx>
        <c:axId val="560078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0078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6E2B5FE-F106-493B-3904-7120E3C6A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8554687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  <c r="E1" t="s">
        <v>39</v>
      </c>
    </row>
    <row r="2" spans="1:6" s="9" customFormat="1" ht="12.95" customHeight="1" x14ac:dyDescent="0.2">
      <c r="A2" s="9" t="s">
        <v>23</v>
      </c>
      <c r="B2" s="9" t="s">
        <v>40</v>
      </c>
      <c r="C2" s="10" t="s">
        <v>37</v>
      </c>
      <c r="D2" s="11" t="s">
        <v>41</v>
      </c>
      <c r="E2" s="3" t="s">
        <v>38</v>
      </c>
      <c r="F2" s="9" t="e">
        <v>#N/A</v>
      </c>
    </row>
    <row r="3" spans="1:6" s="9" customFormat="1" ht="12.95" customHeight="1" thickBot="1" x14ac:dyDescent="0.25"/>
    <row r="4" spans="1:6" s="9" customFormat="1" ht="12.95" customHeight="1" thickTop="1" thickBot="1" x14ac:dyDescent="0.25">
      <c r="A4" s="12" t="s">
        <v>0</v>
      </c>
      <c r="C4" s="13" t="s">
        <v>36</v>
      </c>
      <c r="D4" s="14" t="s">
        <v>36</v>
      </c>
    </row>
    <row r="5" spans="1:6" s="9" customFormat="1" ht="12.95" customHeight="1" thickTop="1" x14ac:dyDescent="0.2">
      <c r="A5" s="15" t="s">
        <v>28</v>
      </c>
      <c r="C5" s="16">
        <v>-9.5</v>
      </c>
      <c r="D5" s="9" t="s">
        <v>29</v>
      </c>
    </row>
    <row r="6" spans="1:6" s="9" customFormat="1" ht="12.95" customHeight="1" x14ac:dyDescent="0.2">
      <c r="A6" s="12" t="s">
        <v>1</v>
      </c>
    </row>
    <row r="7" spans="1:6" s="9" customFormat="1" ht="12.95" customHeight="1" x14ac:dyDescent="0.2">
      <c r="A7" s="9" t="s">
        <v>2</v>
      </c>
      <c r="C7" s="42">
        <v>52623.146999999881</v>
      </c>
      <c r="D7" s="18" t="s">
        <v>42</v>
      </c>
    </row>
    <row r="8" spans="1:6" s="9" customFormat="1" ht="12.95" customHeight="1" x14ac:dyDescent="0.2">
      <c r="A8" s="9" t="s">
        <v>3</v>
      </c>
      <c r="C8" s="42">
        <v>0.50624199999999997</v>
      </c>
      <c r="D8" s="18" t="s">
        <v>42</v>
      </c>
    </row>
    <row r="9" spans="1:6" s="9" customFormat="1" ht="12.95" customHeight="1" x14ac:dyDescent="0.2">
      <c r="A9" s="19" t="s">
        <v>32</v>
      </c>
      <c r="B9" s="20">
        <v>22</v>
      </c>
      <c r="C9" s="21" t="str">
        <f>"F"&amp;B9</f>
        <v>F22</v>
      </c>
      <c r="D9" s="22" t="str">
        <f>"G"&amp;B9</f>
        <v>G22</v>
      </c>
    </row>
    <row r="10" spans="1:6" s="9" customFormat="1" ht="12.95" customHeight="1" thickBot="1" x14ac:dyDescent="0.25">
      <c r="C10" s="23" t="s">
        <v>19</v>
      </c>
      <c r="D10" s="23" t="s">
        <v>20</v>
      </c>
    </row>
    <row r="11" spans="1:6" s="9" customFormat="1" ht="12.95" customHeight="1" x14ac:dyDescent="0.2">
      <c r="A11" s="9" t="s">
        <v>15</v>
      </c>
      <c r="C11" s="22">
        <f ca="1">INTERCEPT(INDIRECT($D$9):G992,INDIRECT($C$9):F992)</f>
        <v>1.1183352063184535E-2</v>
      </c>
      <c r="D11" s="11"/>
    </row>
    <row r="12" spans="1:6" s="9" customFormat="1" ht="12.95" customHeight="1" x14ac:dyDescent="0.2">
      <c r="A12" s="9" t="s">
        <v>16</v>
      </c>
      <c r="C12" s="22">
        <f ca="1">SLOPE(INDIRECT($D$9):G992,INDIRECT($C$9):F992)</f>
        <v>-2.6173613054266296E-6</v>
      </c>
      <c r="D12" s="11"/>
    </row>
    <row r="13" spans="1:6" s="9" customFormat="1" ht="12.95" customHeight="1" x14ac:dyDescent="0.2">
      <c r="A13" s="9" t="s">
        <v>18</v>
      </c>
      <c r="C13" s="11" t="s">
        <v>13</v>
      </c>
    </row>
    <row r="14" spans="1:6" s="9" customFormat="1" ht="12.95" customHeight="1" x14ac:dyDescent="0.2"/>
    <row r="15" spans="1:6" s="9" customFormat="1" ht="12.95" customHeight="1" x14ac:dyDescent="0.2">
      <c r="A15" s="24" t="s">
        <v>17</v>
      </c>
      <c r="C15" s="25">
        <f ca="1">(C7+C11)+(C8+C12)*INT(MAX(F21:F3533))</f>
        <v>59554.081571058312</v>
      </c>
      <c r="E15" s="26" t="s">
        <v>33</v>
      </c>
      <c r="F15" s="16">
        <v>1</v>
      </c>
    </row>
    <row r="16" spans="1:6" s="9" customFormat="1" ht="12.95" customHeight="1" x14ac:dyDescent="0.2">
      <c r="A16" s="12" t="s">
        <v>4</v>
      </c>
      <c r="C16" s="27">
        <f ca="1">+C8+C12</f>
        <v>0.5062393826386945</v>
      </c>
      <c r="E16" s="26" t="s">
        <v>30</v>
      </c>
      <c r="F16" s="28">
        <f ca="1">NOW()+15018.5+$C$5/24</f>
        <v>60338.721267476853</v>
      </c>
    </row>
    <row r="17" spans="1:19" s="9" customFormat="1" ht="12.95" customHeight="1" thickBot="1" x14ac:dyDescent="0.25">
      <c r="A17" s="26" t="s">
        <v>27</v>
      </c>
      <c r="C17" s="9">
        <f>COUNT(C21:C2191)</f>
        <v>10</v>
      </c>
      <c r="E17" s="26" t="s">
        <v>34</v>
      </c>
      <c r="F17" s="28">
        <f ca="1">ROUND(2*(F16-$C$7)/$C$8,0)/2+F15</f>
        <v>15242</v>
      </c>
    </row>
    <row r="18" spans="1:19" s="9" customFormat="1" ht="12.95" customHeight="1" thickTop="1" thickBot="1" x14ac:dyDescent="0.25">
      <c r="A18" s="12" t="s">
        <v>5</v>
      </c>
      <c r="C18" s="29">
        <f ca="1">+C15</f>
        <v>59554.081571058312</v>
      </c>
      <c r="D18" s="30">
        <f ca="1">+C16</f>
        <v>0.5062393826386945</v>
      </c>
      <c r="E18" s="26" t="s">
        <v>35</v>
      </c>
      <c r="F18" s="22">
        <f ca="1">ROUND(2*(F16-$C$15)/$C$16,0)/2+F15</f>
        <v>1551</v>
      </c>
    </row>
    <row r="19" spans="1:19" s="9" customFormat="1" ht="12.95" customHeight="1" thickTop="1" x14ac:dyDescent="0.2">
      <c r="E19" s="26" t="s">
        <v>31</v>
      </c>
      <c r="F19" s="31">
        <f ca="1">+$C$15+$C$16*F18-15018.5-$C$5/24</f>
        <v>45321.154686864262</v>
      </c>
      <c r="S19" s="9">
        <f ca="1">SQRT(SUM(S21:S50)/(COUNT(S21:S50)-1))</f>
        <v>4.116211796077808E-2</v>
      </c>
    </row>
    <row r="20" spans="1:19" s="9" customFormat="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2" t="s">
        <v>50</v>
      </c>
      <c r="I20" s="32" t="s">
        <v>51</v>
      </c>
      <c r="J20" s="32" t="s">
        <v>52</v>
      </c>
      <c r="K20" s="32" t="s">
        <v>53</v>
      </c>
      <c r="L20" s="32" t="s">
        <v>24</v>
      </c>
      <c r="M20" s="32" t="s">
        <v>25</v>
      </c>
      <c r="N20" s="32" t="s">
        <v>26</v>
      </c>
      <c r="O20" s="32" t="s">
        <v>22</v>
      </c>
      <c r="P20" s="33" t="s">
        <v>21</v>
      </c>
      <c r="Q20" s="23" t="s">
        <v>14</v>
      </c>
      <c r="R20" s="34" t="s">
        <v>54</v>
      </c>
    </row>
    <row r="21" spans="1:19" s="9" customFormat="1" ht="12.95" customHeight="1" x14ac:dyDescent="0.2">
      <c r="A21" s="9" t="str">
        <f>D7</f>
        <v>VSX</v>
      </c>
      <c r="C21" s="17">
        <f>C$7</f>
        <v>52623.146999999881</v>
      </c>
      <c r="D21" s="17" t="s">
        <v>13</v>
      </c>
      <c r="E21" s="9">
        <f>+(C21-C$7)/C$8</f>
        <v>0</v>
      </c>
      <c r="F21" s="9">
        <f>ROUND(2*E21,0)/2</f>
        <v>0</v>
      </c>
      <c r="G21" s="9">
        <f>+C21-(C$7+F21*C$8)</f>
        <v>0</v>
      </c>
      <c r="I21" s="9">
        <f>+G21</f>
        <v>0</v>
      </c>
      <c r="O21" s="9">
        <f ca="1">+C$11+C$12*$F21</f>
        <v>1.1183352063184535E-2</v>
      </c>
      <c r="Q21" s="35">
        <f>+C21-15018.5</f>
        <v>37604.646999999881</v>
      </c>
      <c r="S21" s="9">
        <f ca="1">+(O21-G21)^2</f>
        <v>1.2506736336913377E-4</v>
      </c>
    </row>
    <row r="22" spans="1:19" s="9" customFormat="1" ht="12.95" customHeight="1" x14ac:dyDescent="0.2">
      <c r="A22" s="4" t="s">
        <v>43</v>
      </c>
      <c r="B22" s="5" t="s">
        <v>44</v>
      </c>
      <c r="C22" s="4">
        <v>54513.451800000003</v>
      </c>
      <c r="D22" s="4">
        <v>2.9999999999999997E-4</v>
      </c>
      <c r="E22" s="9">
        <f>+(C22-C$7)/C$8</f>
        <v>3733.9944137391244</v>
      </c>
      <c r="F22" s="9">
        <f>ROUND(2*E22,0)/2</f>
        <v>3734</v>
      </c>
      <c r="G22" s="9">
        <f>+C22-(C$7+F22*C$8)</f>
        <v>-2.8279998805373907E-3</v>
      </c>
      <c r="K22" s="9">
        <f>+G22</f>
        <v>-2.8279998805373907E-3</v>
      </c>
      <c r="O22" s="9">
        <f ca="1">+C$11+C$12*$F22</f>
        <v>1.4101249487214994E-3</v>
      </c>
      <c r="Q22" s="35">
        <f>+C22-15018.5</f>
        <v>39494.951800000003</v>
      </c>
      <c r="S22" s="9">
        <f ca="1">+(O22-G22)^2</f>
        <v>1.7961702068380695E-5</v>
      </c>
    </row>
    <row r="23" spans="1:19" s="9" customFormat="1" ht="12.95" customHeight="1" x14ac:dyDescent="0.2">
      <c r="A23" s="4" t="s">
        <v>45</v>
      </c>
      <c r="B23" s="5" t="s">
        <v>44</v>
      </c>
      <c r="C23" s="4">
        <v>55565.925900000002</v>
      </c>
      <c r="D23" s="4">
        <v>8.0000000000000004E-4</v>
      </c>
      <c r="E23" s="9">
        <f>+(C23-C$7)/C$8</f>
        <v>5812.9884521634349</v>
      </c>
      <c r="F23" s="9">
        <f>ROUND(2*E23,0)/2</f>
        <v>5813</v>
      </c>
      <c r="G23" s="9">
        <f>+C23-(C$7+F23*C$8)</f>
        <v>-5.8459998763282783E-3</v>
      </c>
      <c r="K23" s="9">
        <f>+G23</f>
        <v>-5.8459998763282783E-3</v>
      </c>
      <c r="O23" s="9">
        <f ca="1">+C$11+C$12*$F23</f>
        <v>-4.0313692052604631E-3</v>
      </c>
      <c r="Q23" s="35">
        <f>+C23-15018.5</f>
        <v>40547.425900000002</v>
      </c>
      <c r="S23" s="9">
        <f ca="1">+(O23-G23)^2</f>
        <v>3.2928844723800296E-6</v>
      </c>
    </row>
    <row r="24" spans="1:19" s="9" customFormat="1" ht="12.95" customHeight="1" x14ac:dyDescent="0.2">
      <c r="A24" s="4" t="s">
        <v>46</v>
      </c>
      <c r="B24" s="5" t="s">
        <v>47</v>
      </c>
      <c r="C24" s="4">
        <v>56009.65</v>
      </c>
      <c r="D24" s="4">
        <v>5.0000000000000001E-3</v>
      </c>
      <c r="E24" s="9">
        <f>+(C24-C$7)/C$8</f>
        <v>6689.4943525035869</v>
      </c>
      <c r="F24" s="9">
        <f>ROUND(2*E24,0)/2</f>
        <v>6689.5</v>
      </c>
      <c r="O24" s="9">
        <f ca="1">+C$11+C$12*$F24</f>
        <v>-6.3254863894669049E-3</v>
      </c>
      <c r="Q24" s="35">
        <f>+C24-15018.5</f>
        <v>40991.15</v>
      </c>
      <c r="R24" s="9">
        <f>+C24-(C$7+F24*C$8)</f>
        <v>-2.8589998764800839E-3</v>
      </c>
      <c r="S24" s="9">
        <f ca="1">+(O24-R24)^2</f>
        <v>1.2016528744719528E-5</v>
      </c>
    </row>
    <row r="25" spans="1:19" s="9" customFormat="1" ht="12.95" customHeight="1" x14ac:dyDescent="0.2">
      <c r="A25" s="36" t="s">
        <v>49</v>
      </c>
      <c r="C25" s="17">
        <v>59259.709600000002</v>
      </c>
      <c r="D25" s="17">
        <v>2.9999999999999997E-4</v>
      </c>
      <c r="E25" s="9">
        <f>+(C25-C$7)/C$8</f>
        <v>13109.466618731993</v>
      </c>
      <c r="F25" s="9">
        <f>ROUND(2*E25,0)/2</f>
        <v>13109.5</v>
      </c>
      <c r="G25" s="9">
        <f>+C25-(C$7+F25*C$8)</f>
        <v>-1.6898999878321774E-2</v>
      </c>
      <c r="K25" s="9">
        <f>+G25</f>
        <v>-1.6898999878321774E-2</v>
      </c>
      <c r="O25" s="9">
        <f ca="1">+C$11+C$12*$F25</f>
        <v>-2.3128945970305868E-2</v>
      </c>
      <c r="Q25" s="35">
        <f>+C25-15018.5</f>
        <v>44241.209600000002</v>
      </c>
      <c r="S25" s="9">
        <f ca="1">+(O25-G25)^2</f>
        <v>3.8812228309027886E-5</v>
      </c>
    </row>
    <row r="26" spans="1:19" s="9" customFormat="1" ht="12.95" customHeight="1" x14ac:dyDescent="0.2">
      <c r="A26" s="6" t="s">
        <v>55</v>
      </c>
      <c r="B26" s="7" t="s">
        <v>44</v>
      </c>
      <c r="C26" s="40">
        <v>59273.447800000002</v>
      </c>
      <c r="D26" s="41">
        <v>1.1999999999999999E-3</v>
      </c>
      <c r="E26" s="9">
        <f t="shared" ref="E26:E29" si="0">+(C26-C$7)/C$8</f>
        <v>13136.604232758486</v>
      </c>
      <c r="F26" s="9">
        <f t="shared" ref="F26:F29" si="1">ROUND(2*E26,0)/2</f>
        <v>13136.5</v>
      </c>
      <c r="G26" s="9">
        <f t="shared" ref="G26:G29" si="2">+C26-(C$7+F26*C$8)</f>
        <v>5.2767000124731567E-2</v>
      </c>
      <c r="K26" s="9">
        <f t="shared" ref="K26:K29" si="3">+G26</f>
        <v>5.2767000124731567E-2</v>
      </c>
      <c r="O26" s="9">
        <f t="shared" ref="O26:O29" ca="1" si="4">+C$11+C$12*$F26</f>
        <v>-2.3199614725552382E-2</v>
      </c>
      <c r="Q26" s="35">
        <f t="shared" ref="Q26:Q29" si="5">+C26-15018.5</f>
        <v>44254.947800000002</v>
      </c>
      <c r="S26" s="9">
        <f t="shared" ref="S26:S29" ca="1" si="6">+(O26-G26)^2</f>
        <v>5.7709265718113804E-3</v>
      </c>
    </row>
    <row r="27" spans="1:19" s="9" customFormat="1" ht="12.95" customHeight="1" x14ac:dyDescent="0.2">
      <c r="A27" s="6" t="s">
        <v>55</v>
      </c>
      <c r="B27" s="7" t="s">
        <v>44</v>
      </c>
      <c r="C27" s="40">
        <v>59274.390200000002</v>
      </c>
      <c r="D27" s="41">
        <v>1.8E-3</v>
      </c>
      <c r="E27" s="9">
        <f t="shared" si="0"/>
        <v>13138.465793039932</v>
      </c>
      <c r="F27" s="9">
        <f t="shared" si="1"/>
        <v>13138.5</v>
      </c>
      <c r="G27" s="9">
        <f t="shared" si="2"/>
        <v>-1.7316999881586526E-2</v>
      </c>
      <c r="K27" s="9">
        <f t="shared" si="3"/>
        <v>-1.7316999881586526E-2</v>
      </c>
      <c r="O27" s="9">
        <f t="shared" ca="1" si="4"/>
        <v>-2.3204849448163235E-2</v>
      </c>
      <c r="Q27" s="35">
        <f t="shared" si="5"/>
        <v>44255.890200000002</v>
      </c>
      <c r="S27" s="9">
        <f t="shared" ca="1" si="6"/>
        <v>3.466677251863755E-5</v>
      </c>
    </row>
    <row r="28" spans="1:19" s="9" customFormat="1" ht="12.95" customHeight="1" x14ac:dyDescent="0.2">
      <c r="A28" s="6" t="s">
        <v>55</v>
      </c>
      <c r="B28" s="7" t="s">
        <v>44</v>
      </c>
      <c r="C28" s="40">
        <v>59275.403899999998</v>
      </c>
      <c r="D28" s="41">
        <v>2E-3</v>
      </c>
      <c r="E28" s="9">
        <f t="shared" si="0"/>
        <v>13140.46819505319</v>
      </c>
      <c r="F28" s="9">
        <f t="shared" si="1"/>
        <v>13140.5</v>
      </c>
      <c r="G28" s="9">
        <f t="shared" si="2"/>
        <v>-1.610099988465663E-2</v>
      </c>
      <c r="K28" s="9">
        <f t="shared" si="3"/>
        <v>-1.610099988465663E-2</v>
      </c>
      <c r="O28" s="9">
        <f t="shared" ca="1" si="4"/>
        <v>-2.3210084170774088E-2</v>
      </c>
      <c r="Q28" s="35">
        <f t="shared" si="5"/>
        <v>44256.903899999998</v>
      </c>
      <c r="S28" s="9">
        <f t="shared" ca="1" si="6"/>
        <v>5.0539079387122166E-5</v>
      </c>
    </row>
    <row r="29" spans="1:19" s="9" customFormat="1" ht="12.95" customHeight="1" x14ac:dyDescent="0.2">
      <c r="A29" s="6" t="s">
        <v>55</v>
      </c>
      <c r="B29" s="7" t="s">
        <v>44</v>
      </c>
      <c r="C29" s="40">
        <v>59276.415800000002</v>
      </c>
      <c r="D29" s="41">
        <v>8.9999999999999998E-4</v>
      </c>
      <c r="E29" s="9">
        <f t="shared" si="0"/>
        <v>13142.467041454724</v>
      </c>
      <c r="F29" s="9">
        <f t="shared" si="1"/>
        <v>13142.5</v>
      </c>
      <c r="G29" s="9">
        <f t="shared" si="2"/>
        <v>-1.6684999878634699E-2</v>
      </c>
      <c r="K29" s="9">
        <f t="shared" si="3"/>
        <v>-1.6684999878634699E-2</v>
      </c>
      <c r="O29" s="9">
        <f t="shared" ca="1" si="4"/>
        <v>-2.3215318893384948E-2</v>
      </c>
      <c r="Q29" s="35">
        <f t="shared" si="5"/>
        <v>44257.915800000002</v>
      </c>
      <c r="S29" s="9">
        <f t="shared" ca="1" si="6"/>
        <v>4.264506643440867E-5</v>
      </c>
    </row>
    <row r="30" spans="1:19" s="9" customFormat="1" ht="12.95" customHeight="1" x14ac:dyDescent="0.2">
      <c r="A30" s="8" t="s">
        <v>56</v>
      </c>
      <c r="B30" s="37" t="s">
        <v>47</v>
      </c>
      <c r="C30" s="38">
        <v>59553.9859</v>
      </c>
      <c r="D30" s="39">
        <v>2.9999999999999997E-4</v>
      </c>
      <c r="E30" s="9">
        <f t="shared" ref="E30" si="7">+(C30-C$7)/C$8</f>
        <v>13690.762323157935</v>
      </c>
      <c r="F30" s="9">
        <f t="shared" ref="F30" si="8">ROUND(2*E30,0)/2</f>
        <v>13691</v>
      </c>
      <c r="G30" s="9">
        <f t="shared" ref="G30" si="9">+C30-(C$7+F30*C$8)</f>
        <v>-0.12032199987879721</v>
      </c>
      <c r="K30" s="9">
        <f t="shared" ref="K30" si="10">+G30</f>
        <v>-0.12032199987879721</v>
      </c>
      <c r="O30" s="9">
        <f t="shared" ref="O30" ca="1" si="11">+C$11+C$12*$F30</f>
        <v>-2.4650941569411451E-2</v>
      </c>
      <c r="Q30" s="35">
        <f t="shared" ref="Q30" si="12">+C30-15018.5</f>
        <v>44535.4859</v>
      </c>
      <c r="S30" s="9">
        <f t="shared" ref="S30" ca="1" si="13">+(O30-G30)^2</f>
        <v>9.152951398037892E-3</v>
      </c>
    </row>
    <row r="31" spans="1:19" s="9" customFormat="1" ht="12.95" customHeight="1" x14ac:dyDescent="0.2">
      <c r="C31" s="17"/>
      <c r="D31" s="17"/>
      <c r="Q31" s="35"/>
    </row>
    <row r="32" spans="1:19" s="9" customFormat="1" ht="12.95" customHeight="1" x14ac:dyDescent="0.2">
      <c r="C32" s="17"/>
      <c r="D32" s="17"/>
      <c r="Q32" s="35"/>
    </row>
    <row r="33" spans="3:17" s="9" customFormat="1" ht="12.95" customHeight="1" x14ac:dyDescent="0.2">
      <c r="C33" s="17"/>
      <c r="D33" s="17"/>
      <c r="Q33" s="35"/>
    </row>
    <row r="34" spans="3:17" s="9" customFormat="1" ht="12.95" customHeight="1" x14ac:dyDescent="0.2">
      <c r="C34" s="17"/>
      <c r="D34" s="17"/>
    </row>
    <row r="35" spans="3:17" s="9" customFormat="1" ht="12.95" customHeight="1" x14ac:dyDescent="0.2">
      <c r="C35" s="17"/>
      <c r="D35" s="17"/>
    </row>
    <row r="36" spans="3:17" s="9" customFormat="1" ht="12.95" customHeight="1" x14ac:dyDescent="0.2">
      <c r="C36" s="17"/>
      <c r="D36" s="17"/>
    </row>
    <row r="37" spans="3:17" s="9" customFormat="1" ht="12.95" customHeight="1" x14ac:dyDescent="0.2">
      <c r="C37" s="17"/>
      <c r="D37" s="17"/>
    </row>
    <row r="38" spans="3:17" s="9" customFormat="1" ht="12.95" customHeight="1" x14ac:dyDescent="0.2">
      <c r="C38" s="17"/>
      <c r="D38" s="17"/>
    </row>
    <row r="39" spans="3:17" s="9" customFormat="1" ht="12.95" customHeight="1" x14ac:dyDescent="0.2">
      <c r="C39" s="17"/>
      <c r="D39" s="17"/>
    </row>
    <row r="40" spans="3:17" s="9" customFormat="1" ht="12.95" customHeight="1" x14ac:dyDescent="0.2">
      <c r="C40" s="17"/>
      <c r="D40" s="17"/>
    </row>
    <row r="41" spans="3:17" s="9" customFormat="1" ht="12.95" customHeight="1" x14ac:dyDescent="0.2">
      <c r="C41" s="17"/>
      <c r="D41" s="17"/>
    </row>
    <row r="42" spans="3:17" s="9" customFormat="1" ht="12.95" customHeight="1" x14ac:dyDescent="0.2">
      <c r="C42" s="17"/>
      <c r="D42" s="17"/>
    </row>
    <row r="43" spans="3:17" s="9" customFormat="1" ht="12.95" customHeight="1" x14ac:dyDescent="0.2">
      <c r="C43" s="17"/>
      <c r="D43" s="17"/>
    </row>
    <row r="44" spans="3:17" s="9" customFormat="1" ht="12.95" customHeight="1" x14ac:dyDescent="0.2">
      <c r="C44" s="17"/>
      <c r="D44" s="17"/>
    </row>
    <row r="45" spans="3:17" s="9" customFormat="1" ht="12.95" customHeight="1" x14ac:dyDescent="0.2">
      <c r="C45" s="17"/>
      <c r="D45" s="17"/>
    </row>
    <row r="46" spans="3:17" s="9" customFormat="1" ht="12.95" customHeight="1" x14ac:dyDescent="0.2">
      <c r="C46" s="17"/>
      <c r="D46" s="17"/>
    </row>
    <row r="47" spans="3:17" s="9" customFormat="1" ht="12.95" customHeight="1" x14ac:dyDescent="0.2">
      <c r="C47" s="17"/>
      <c r="D47" s="17"/>
    </row>
    <row r="48" spans="3:17" s="9" customFormat="1" ht="12.95" customHeight="1" x14ac:dyDescent="0.2">
      <c r="C48" s="17"/>
      <c r="D48" s="17"/>
    </row>
    <row r="49" spans="3:4" s="9" customFormat="1" ht="12.95" customHeight="1" x14ac:dyDescent="0.2">
      <c r="C49" s="17"/>
      <c r="D49" s="17"/>
    </row>
    <row r="50" spans="3:4" s="9" customFormat="1" ht="12.95" customHeight="1" x14ac:dyDescent="0.2">
      <c r="C50" s="17"/>
      <c r="D50" s="17"/>
    </row>
    <row r="51" spans="3:4" s="9" customFormat="1" ht="12.95" customHeight="1" x14ac:dyDescent="0.2">
      <c r="C51" s="17"/>
      <c r="D51" s="17"/>
    </row>
    <row r="52" spans="3:4" s="9" customFormat="1" ht="12.95" customHeight="1" x14ac:dyDescent="0.2">
      <c r="C52" s="17"/>
      <c r="D52" s="17"/>
    </row>
    <row r="53" spans="3:4" s="9" customFormat="1" ht="12.95" customHeight="1" x14ac:dyDescent="0.2">
      <c r="C53" s="17"/>
      <c r="D53" s="17"/>
    </row>
    <row r="54" spans="3:4" s="9" customFormat="1" ht="12.95" customHeight="1" x14ac:dyDescent="0.2">
      <c r="C54" s="17"/>
      <c r="D54" s="17"/>
    </row>
    <row r="55" spans="3:4" s="9" customFormat="1" ht="12.95" customHeight="1" x14ac:dyDescent="0.2">
      <c r="C55" s="17"/>
      <c r="D55" s="17"/>
    </row>
    <row r="56" spans="3:4" s="9" customFormat="1" ht="12.95" customHeight="1" x14ac:dyDescent="0.2">
      <c r="C56" s="17"/>
      <c r="D56" s="17"/>
    </row>
    <row r="57" spans="3:4" s="9" customFormat="1" ht="12.95" customHeight="1" x14ac:dyDescent="0.2">
      <c r="C57" s="17"/>
      <c r="D57" s="17"/>
    </row>
    <row r="58" spans="3:4" s="9" customFormat="1" ht="12.95" customHeight="1" x14ac:dyDescent="0.2">
      <c r="C58" s="17"/>
      <c r="D58" s="17"/>
    </row>
    <row r="59" spans="3:4" s="9" customFormat="1" ht="12.95" customHeight="1" x14ac:dyDescent="0.2">
      <c r="C59" s="17"/>
      <c r="D59" s="17"/>
    </row>
    <row r="60" spans="3:4" s="9" customFormat="1" ht="12.95" customHeight="1" x14ac:dyDescent="0.2">
      <c r="C60" s="17"/>
      <c r="D60" s="17"/>
    </row>
    <row r="61" spans="3:4" s="9" customFormat="1" ht="12.95" customHeight="1" x14ac:dyDescent="0.2">
      <c r="C61" s="17"/>
      <c r="D61" s="17"/>
    </row>
    <row r="62" spans="3:4" s="9" customFormat="1" ht="12.95" customHeight="1" x14ac:dyDescent="0.2">
      <c r="C62" s="17"/>
      <c r="D62" s="17"/>
    </row>
    <row r="63" spans="3:4" s="9" customFormat="1" ht="12.95" customHeight="1" x14ac:dyDescent="0.2">
      <c r="C63" s="17"/>
      <c r="D63" s="17"/>
    </row>
    <row r="64" spans="3:4" s="9" customFormat="1" ht="12.95" customHeight="1" x14ac:dyDescent="0.2">
      <c r="C64" s="17"/>
      <c r="D64" s="17"/>
    </row>
    <row r="65" spans="3:4" s="9" customFormat="1" ht="12.95" customHeight="1" x14ac:dyDescent="0.2">
      <c r="C65" s="17"/>
      <c r="D65" s="17"/>
    </row>
    <row r="66" spans="3:4" s="9" customFormat="1" ht="12.95" customHeight="1" x14ac:dyDescent="0.2">
      <c r="C66" s="17"/>
      <c r="D66" s="17"/>
    </row>
    <row r="67" spans="3:4" s="9" customFormat="1" ht="12.95" customHeight="1" x14ac:dyDescent="0.2">
      <c r="C67" s="17"/>
      <c r="D67" s="17"/>
    </row>
    <row r="68" spans="3:4" s="9" customFormat="1" ht="12.95" customHeight="1" x14ac:dyDescent="0.2">
      <c r="C68" s="17"/>
      <c r="D68" s="17"/>
    </row>
    <row r="69" spans="3:4" s="9" customFormat="1" ht="12.95" customHeight="1" x14ac:dyDescent="0.2">
      <c r="C69" s="17"/>
      <c r="D69" s="17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2024-01-29T04:18:37Z</dcterms:modified>
</cp:coreProperties>
</file>