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02FA86D-C159-4286-AF23-4BAA62975D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3" r:id="rId2"/>
    <sheet name="Q_fit" sheetId="2" r:id="rId3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Q83" i="1" l="1"/>
  <c r="Q82" i="1"/>
  <c r="D9" i="1"/>
  <c r="C9" i="1"/>
  <c r="D11" i="1"/>
  <c r="T4" i="1" s="1"/>
  <c r="D12" i="1"/>
  <c r="P29" i="1" s="1"/>
  <c r="R29" i="1" s="1"/>
  <c r="E27" i="1"/>
  <c r="F27" i="1" s="1"/>
  <c r="C7" i="1"/>
  <c r="E83" i="1" s="1"/>
  <c r="F83" i="1" s="1"/>
  <c r="C8" i="1"/>
  <c r="E42" i="1" s="1"/>
  <c r="E72" i="1"/>
  <c r="F72" i="1" s="1"/>
  <c r="G72" i="1" s="1"/>
  <c r="I72" i="1" s="1"/>
  <c r="E69" i="1"/>
  <c r="F69" i="1" s="1"/>
  <c r="E70" i="1"/>
  <c r="F70" i="1" s="1"/>
  <c r="E51" i="1"/>
  <c r="F51" i="1" s="1"/>
  <c r="E59" i="1"/>
  <c r="F59" i="1" s="1"/>
  <c r="E60" i="1"/>
  <c r="F60" i="1" s="1"/>
  <c r="E64" i="1"/>
  <c r="F64" i="1" s="1"/>
  <c r="C71" i="1"/>
  <c r="E71" i="1"/>
  <c r="F71" i="1" s="1"/>
  <c r="E73" i="1"/>
  <c r="F73" i="1" s="1"/>
  <c r="E80" i="1"/>
  <c r="F80" i="1" s="1"/>
  <c r="E81" i="1"/>
  <c r="F81" i="1" s="1"/>
  <c r="E57" i="1"/>
  <c r="F57" i="1" s="1"/>
  <c r="E66" i="1"/>
  <c r="F66" i="1" s="1"/>
  <c r="P66" i="1" s="1"/>
  <c r="E47" i="1"/>
  <c r="F47" i="1" s="1"/>
  <c r="E48" i="1"/>
  <c r="F48" i="1" s="1"/>
  <c r="F16" i="1"/>
  <c r="D13" i="1"/>
  <c r="Q76" i="1"/>
  <c r="Q74" i="1"/>
  <c r="Q72" i="1"/>
  <c r="Q57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G37" i="3"/>
  <c r="C37" i="3"/>
  <c r="E37" i="3"/>
  <c r="G36" i="3"/>
  <c r="C36" i="3"/>
  <c r="E36" i="3"/>
  <c r="G35" i="3"/>
  <c r="C35" i="3"/>
  <c r="G34" i="3"/>
  <c r="C34" i="3"/>
  <c r="G33" i="3"/>
  <c r="C33" i="3"/>
  <c r="G69" i="3"/>
  <c r="C69" i="3"/>
  <c r="G32" i="3"/>
  <c r="C32" i="3"/>
  <c r="G68" i="3"/>
  <c r="C68" i="3"/>
  <c r="G31" i="3"/>
  <c r="C31" i="3"/>
  <c r="E31" i="3"/>
  <c r="G67" i="3"/>
  <c r="C67" i="3"/>
  <c r="E67" i="3"/>
  <c r="G30" i="3"/>
  <c r="C30" i="3"/>
  <c r="E30" i="3"/>
  <c r="G29" i="3"/>
  <c r="C29" i="3"/>
  <c r="E29" i="3"/>
  <c r="G28" i="3"/>
  <c r="C28" i="3"/>
  <c r="G27" i="3"/>
  <c r="C27" i="3"/>
  <c r="G26" i="3"/>
  <c r="C26" i="3"/>
  <c r="E26" i="3"/>
  <c r="G25" i="3"/>
  <c r="C25" i="3"/>
  <c r="G24" i="3"/>
  <c r="C24" i="3"/>
  <c r="E24" i="3"/>
  <c r="G23" i="3"/>
  <c r="C23" i="3"/>
  <c r="G22" i="3"/>
  <c r="C22" i="3"/>
  <c r="G21" i="3"/>
  <c r="C21" i="3"/>
  <c r="G20" i="3"/>
  <c r="C20" i="3"/>
  <c r="E20" i="3"/>
  <c r="G19" i="3"/>
  <c r="C19" i="3"/>
  <c r="G18" i="3"/>
  <c r="C18" i="3"/>
  <c r="G66" i="3"/>
  <c r="C66" i="3"/>
  <c r="G17" i="3"/>
  <c r="C17" i="3"/>
  <c r="G16" i="3"/>
  <c r="C16" i="3"/>
  <c r="G15" i="3"/>
  <c r="C15" i="3"/>
  <c r="G14" i="3"/>
  <c r="C14" i="3"/>
  <c r="G13" i="3"/>
  <c r="C13" i="3"/>
  <c r="E13" i="3"/>
  <c r="G12" i="3"/>
  <c r="C12" i="3"/>
  <c r="G11" i="3"/>
  <c r="C11" i="3"/>
  <c r="G65" i="3"/>
  <c r="C65" i="3"/>
  <c r="G64" i="3"/>
  <c r="C64" i="3"/>
  <c r="E64" i="3"/>
  <c r="G63" i="3"/>
  <c r="C63" i="3"/>
  <c r="G62" i="3"/>
  <c r="C62" i="3"/>
  <c r="G61" i="3"/>
  <c r="C61" i="3"/>
  <c r="G60" i="3"/>
  <c r="C60" i="3"/>
  <c r="G59" i="3"/>
  <c r="C59" i="3"/>
  <c r="G58" i="3"/>
  <c r="C58" i="3"/>
  <c r="G57" i="3"/>
  <c r="C57" i="3"/>
  <c r="G56" i="3"/>
  <c r="C56" i="3"/>
  <c r="G55" i="3"/>
  <c r="C55" i="3"/>
  <c r="G54" i="3"/>
  <c r="C54" i="3"/>
  <c r="G53" i="3"/>
  <c r="C53" i="3"/>
  <c r="G52" i="3"/>
  <c r="C52" i="3"/>
  <c r="G51" i="3"/>
  <c r="C51" i="3"/>
  <c r="G50" i="3"/>
  <c r="C50" i="3"/>
  <c r="G49" i="3"/>
  <c r="C49" i="3"/>
  <c r="G48" i="3"/>
  <c r="C48" i="3"/>
  <c r="G47" i="3"/>
  <c r="C47" i="3"/>
  <c r="G46" i="3"/>
  <c r="C46" i="3"/>
  <c r="G45" i="3"/>
  <c r="C45" i="3"/>
  <c r="G44" i="3"/>
  <c r="C44" i="3"/>
  <c r="G43" i="3"/>
  <c r="C43" i="3"/>
  <c r="G42" i="3"/>
  <c r="C42" i="3"/>
  <c r="G41" i="3"/>
  <c r="C41" i="3"/>
  <c r="G40" i="3"/>
  <c r="C40" i="3"/>
  <c r="G39" i="3"/>
  <c r="C39" i="3"/>
  <c r="G38" i="3"/>
  <c r="C38" i="3"/>
  <c r="H37" i="3"/>
  <c r="B37" i="3"/>
  <c r="D37" i="3"/>
  <c r="A37" i="3"/>
  <c r="H36" i="3"/>
  <c r="D36" i="3"/>
  <c r="B36" i="3"/>
  <c r="A36" i="3"/>
  <c r="H35" i="3"/>
  <c r="B35" i="3"/>
  <c r="D35" i="3"/>
  <c r="A35" i="3"/>
  <c r="H34" i="3"/>
  <c r="D34" i="3"/>
  <c r="B34" i="3"/>
  <c r="A34" i="3"/>
  <c r="H33" i="3"/>
  <c r="B33" i="3"/>
  <c r="D33" i="3"/>
  <c r="A33" i="3"/>
  <c r="H69" i="3"/>
  <c r="D69" i="3"/>
  <c r="B69" i="3"/>
  <c r="A69" i="3"/>
  <c r="H32" i="3"/>
  <c r="B32" i="3"/>
  <c r="D32" i="3"/>
  <c r="A32" i="3"/>
  <c r="H68" i="3"/>
  <c r="D68" i="3"/>
  <c r="B68" i="3"/>
  <c r="A68" i="3"/>
  <c r="H31" i="3"/>
  <c r="B31" i="3"/>
  <c r="D31" i="3"/>
  <c r="A31" i="3"/>
  <c r="H67" i="3"/>
  <c r="D67" i="3"/>
  <c r="B67" i="3"/>
  <c r="A67" i="3"/>
  <c r="H30" i="3"/>
  <c r="B30" i="3"/>
  <c r="D30" i="3"/>
  <c r="A30" i="3"/>
  <c r="H29" i="3"/>
  <c r="D29" i="3"/>
  <c r="B29" i="3"/>
  <c r="A29" i="3"/>
  <c r="H28" i="3"/>
  <c r="B28" i="3"/>
  <c r="D28" i="3"/>
  <c r="A28" i="3"/>
  <c r="H27" i="3"/>
  <c r="D27" i="3"/>
  <c r="B27" i="3"/>
  <c r="A27" i="3"/>
  <c r="H26" i="3"/>
  <c r="B26" i="3"/>
  <c r="D26" i="3"/>
  <c r="A26" i="3"/>
  <c r="H25" i="3"/>
  <c r="D25" i="3"/>
  <c r="B25" i="3"/>
  <c r="A25" i="3"/>
  <c r="H24" i="3"/>
  <c r="B24" i="3"/>
  <c r="D24" i="3"/>
  <c r="A24" i="3"/>
  <c r="H23" i="3"/>
  <c r="D23" i="3"/>
  <c r="B23" i="3"/>
  <c r="A23" i="3"/>
  <c r="H22" i="3"/>
  <c r="B22" i="3"/>
  <c r="D22" i="3"/>
  <c r="A22" i="3"/>
  <c r="H21" i="3"/>
  <c r="D21" i="3"/>
  <c r="B21" i="3"/>
  <c r="A21" i="3"/>
  <c r="H20" i="3"/>
  <c r="B20" i="3"/>
  <c r="D20" i="3"/>
  <c r="A20" i="3"/>
  <c r="H19" i="3"/>
  <c r="D19" i="3"/>
  <c r="B19" i="3"/>
  <c r="A19" i="3"/>
  <c r="H18" i="3"/>
  <c r="B18" i="3"/>
  <c r="D18" i="3"/>
  <c r="A18" i="3"/>
  <c r="H66" i="3"/>
  <c r="D66" i="3"/>
  <c r="B66" i="3"/>
  <c r="A66" i="3"/>
  <c r="H17" i="3"/>
  <c r="B17" i="3"/>
  <c r="D17" i="3"/>
  <c r="A17" i="3"/>
  <c r="H16" i="3"/>
  <c r="D16" i="3"/>
  <c r="B16" i="3"/>
  <c r="A16" i="3"/>
  <c r="H15" i="3"/>
  <c r="B15" i="3"/>
  <c r="D15" i="3"/>
  <c r="A15" i="3"/>
  <c r="H14" i="3"/>
  <c r="D14" i="3"/>
  <c r="B14" i="3"/>
  <c r="A14" i="3"/>
  <c r="H13" i="3"/>
  <c r="B13" i="3"/>
  <c r="D13" i="3"/>
  <c r="A13" i="3"/>
  <c r="H12" i="3"/>
  <c r="D12" i="3"/>
  <c r="B12" i="3"/>
  <c r="A12" i="3"/>
  <c r="H11" i="3"/>
  <c r="B11" i="3"/>
  <c r="D11" i="3"/>
  <c r="A11" i="3"/>
  <c r="H65" i="3"/>
  <c r="D65" i="3"/>
  <c r="B65" i="3"/>
  <c r="A65" i="3"/>
  <c r="H64" i="3"/>
  <c r="B64" i="3"/>
  <c r="D64" i="3"/>
  <c r="A64" i="3"/>
  <c r="H63" i="3"/>
  <c r="D63" i="3"/>
  <c r="B63" i="3"/>
  <c r="A63" i="3"/>
  <c r="H62" i="3"/>
  <c r="B62" i="3"/>
  <c r="D62" i="3"/>
  <c r="A62" i="3"/>
  <c r="H61" i="3"/>
  <c r="D61" i="3"/>
  <c r="B61" i="3"/>
  <c r="A61" i="3"/>
  <c r="H60" i="3"/>
  <c r="B60" i="3"/>
  <c r="D60" i="3"/>
  <c r="A60" i="3"/>
  <c r="H59" i="3"/>
  <c r="D59" i="3"/>
  <c r="B59" i="3"/>
  <c r="A59" i="3"/>
  <c r="H58" i="3"/>
  <c r="B58" i="3"/>
  <c r="D58" i="3"/>
  <c r="A58" i="3"/>
  <c r="H57" i="3"/>
  <c r="D57" i="3"/>
  <c r="B57" i="3"/>
  <c r="A57" i="3"/>
  <c r="H56" i="3"/>
  <c r="B56" i="3"/>
  <c r="D56" i="3"/>
  <c r="A56" i="3"/>
  <c r="H55" i="3"/>
  <c r="D55" i="3"/>
  <c r="B55" i="3"/>
  <c r="A55" i="3"/>
  <c r="H54" i="3"/>
  <c r="B54" i="3"/>
  <c r="D54" i="3"/>
  <c r="A54" i="3"/>
  <c r="H53" i="3"/>
  <c r="D53" i="3"/>
  <c r="B53" i="3"/>
  <c r="A53" i="3"/>
  <c r="H52" i="3"/>
  <c r="B52" i="3"/>
  <c r="D52" i="3"/>
  <c r="A52" i="3"/>
  <c r="H51" i="3"/>
  <c r="D51" i="3"/>
  <c r="B51" i="3"/>
  <c r="A51" i="3"/>
  <c r="H50" i="3"/>
  <c r="B50" i="3"/>
  <c r="D50" i="3"/>
  <c r="A50" i="3"/>
  <c r="H49" i="3"/>
  <c r="D49" i="3"/>
  <c r="B49" i="3"/>
  <c r="A49" i="3"/>
  <c r="H48" i="3"/>
  <c r="B48" i="3"/>
  <c r="D48" i="3"/>
  <c r="A48" i="3"/>
  <c r="H47" i="3"/>
  <c r="D47" i="3"/>
  <c r="B47" i="3"/>
  <c r="A47" i="3"/>
  <c r="H46" i="3"/>
  <c r="B46" i="3"/>
  <c r="D46" i="3"/>
  <c r="A46" i="3"/>
  <c r="H45" i="3"/>
  <c r="D45" i="3"/>
  <c r="B45" i="3"/>
  <c r="A45" i="3"/>
  <c r="H44" i="3"/>
  <c r="B44" i="3"/>
  <c r="D44" i="3"/>
  <c r="A44" i="3"/>
  <c r="H43" i="3"/>
  <c r="D43" i="3"/>
  <c r="B43" i="3"/>
  <c r="A43" i="3"/>
  <c r="H42" i="3"/>
  <c r="B42" i="3"/>
  <c r="D42" i="3"/>
  <c r="A42" i="3"/>
  <c r="H41" i="3"/>
  <c r="D41" i="3"/>
  <c r="B41" i="3"/>
  <c r="A41" i="3"/>
  <c r="H40" i="3"/>
  <c r="B40" i="3"/>
  <c r="D40" i="3"/>
  <c r="A40" i="3"/>
  <c r="H39" i="3"/>
  <c r="D39" i="3"/>
  <c r="B39" i="3"/>
  <c r="A39" i="3"/>
  <c r="H38" i="3"/>
  <c r="B38" i="3"/>
  <c r="D38" i="3"/>
  <c r="A38" i="3"/>
  <c r="Q81" i="1"/>
  <c r="Q80" i="1"/>
  <c r="Q75" i="1"/>
  <c r="D16" i="2"/>
  <c r="D15" i="2"/>
  <c r="D12" i="2"/>
  <c r="D21" i="2"/>
  <c r="I21" i="2" s="1"/>
  <c r="J21" i="2" s="1"/>
  <c r="D22" i="2"/>
  <c r="D23" i="2"/>
  <c r="F23" i="2" s="1"/>
  <c r="D24" i="2"/>
  <c r="D25" i="2"/>
  <c r="D26" i="2"/>
  <c r="F26" i="2"/>
  <c r="G26" i="2" s="1"/>
  <c r="D27" i="2"/>
  <c r="F27" i="2" s="1"/>
  <c r="D28" i="2"/>
  <c r="F28" i="2" s="1"/>
  <c r="G28" i="2" s="1"/>
  <c r="D29" i="2"/>
  <c r="D30" i="2"/>
  <c r="D31" i="2"/>
  <c r="F31" i="2" s="1"/>
  <c r="D32" i="2"/>
  <c r="F32" i="2"/>
  <c r="H32" i="2" s="1"/>
  <c r="D33" i="2"/>
  <c r="I33" i="2" s="1"/>
  <c r="J33" i="2" s="1"/>
  <c r="D34" i="2"/>
  <c r="D35" i="2"/>
  <c r="D36" i="2"/>
  <c r="D37" i="2"/>
  <c r="G37" i="2" s="1"/>
  <c r="D38" i="2"/>
  <c r="D39" i="2"/>
  <c r="G39" i="2"/>
  <c r="D40" i="2"/>
  <c r="D41" i="2"/>
  <c r="F41" i="2" s="1"/>
  <c r="H41" i="2" s="1"/>
  <c r="D42" i="2"/>
  <c r="D43" i="2"/>
  <c r="D44" i="2"/>
  <c r="F44" i="2" s="1"/>
  <c r="D45" i="2"/>
  <c r="D46" i="2"/>
  <c r="F46" i="2" s="1"/>
  <c r="G46" i="2" s="1"/>
  <c r="G16" i="2"/>
  <c r="G15" i="2"/>
  <c r="F24" i="2"/>
  <c r="F25" i="2"/>
  <c r="H25" i="2" s="1"/>
  <c r="F30" i="2"/>
  <c r="H30" i="2" s="1"/>
  <c r="F35" i="2"/>
  <c r="G35" i="2" s="1"/>
  <c r="F36" i="2"/>
  <c r="H36" i="2" s="1"/>
  <c r="F37" i="2"/>
  <c r="H37" i="2" s="1"/>
  <c r="F39" i="2"/>
  <c r="F42" i="2"/>
  <c r="H42" i="2" s="1"/>
  <c r="F43" i="2"/>
  <c r="G43" i="2" s="1"/>
  <c r="F45" i="2"/>
  <c r="H45" i="2" s="1"/>
  <c r="G45" i="2"/>
  <c r="F16" i="2"/>
  <c r="F15" i="2"/>
  <c r="F13" i="2"/>
  <c r="D17" i="2"/>
  <c r="O16" i="2"/>
  <c r="O15" i="2"/>
  <c r="E16" i="2"/>
  <c r="E15" i="2"/>
  <c r="E13" i="2"/>
  <c r="E21" i="2"/>
  <c r="E22" i="2"/>
  <c r="E23" i="2"/>
  <c r="I23" i="2"/>
  <c r="J23" i="2"/>
  <c r="E24" i="2"/>
  <c r="E25" i="2"/>
  <c r="I25" i="2"/>
  <c r="J25" i="2" s="1"/>
  <c r="E26" i="2"/>
  <c r="I26" i="2"/>
  <c r="J26" i="2" s="1"/>
  <c r="E27" i="2"/>
  <c r="E28" i="2"/>
  <c r="E29" i="2"/>
  <c r="E30" i="2"/>
  <c r="E31" i="2"/>
  <c r="I31" i="2"/>
  <c r="J31" i="2"/>
  <c r="E32" i="2"/>
  <c r="E33" i="2"/>
  <c r="E34" i="2"/>
  <c r="E35" i="2"/>
  <c r="E36" i="2"/>
  <c r="E37" i="2"/>
  <c r="I37" i="2"/>
  <c r="J37" i="2" s="1"/>
  <c r="E38" i="2"/>
  <c r="E39" i="2"/>
  <c r="I39" i="2"/>
  <c r="J39" i="2"/>
  <c r="E40" i="2"/>
  <c r="E41" i="2"/>
  <c r="E42" i="2"/>
  <c r="I42" i="2"/>
  <c r="J42" i="2" s="1"/>
  <c r="E43" i="2"/>
  <c r="E44" i="2"/>
  <c r="E45" i="2"/>
  <c r="I45" i="2"/>
  <c r="J45" i="2" s="1"/>
  <c r="E46" i="2"/>
  <c r="H16" i="2"/>
  <c r="H15" i="2"/>
  <c r="H12" i="2"/>
  <c r="H13" i="2"/>
  <c r="H35" i="2"/>
  <c r="H39" i="2"/>
  <c r="H43" i="2"/>
  <c r="H46" i="2"/>
  <c r="I16" i="2"/>
  <c r="I15" i="2"/>
  <c r="I12" i="2"/>
  <c r="I13" i="2"/>
  <c r="I24" i="2"/>
  <c r="J24" i="2" s="1"/>
  <c r="I27" i="2"/>
  <c r="J27" i="2" s="1"/>
  <c r="I30" i="2"/>
  <c r="J30" i="2" s="1"/>
  <c r="I32" i="2"/>
  <c r="I35" i="2"/>
  <c r="J35" i="2" s="1"/>
  <c r="I36" i="2"/>
  <c r="J36" i="2" s="1"/>
  <c r="I38" i="2"/>
  <c r="J38" i="2" s="1"/>
  <c r="I43" i="2"/>
  <c r="J43" i="2" s="1"/>
  <c r="I44" i="2"/>
  <c r="J44" i="2" s="1"/>
  <c r="I46" i="2"/>
  <c r="J46" i="2" s="1"/>
  <c r="J16" i="2"/>
  <c r="J15" i="2"/>
  <c r="J12" i="2"/>
  <c r="J13" i="2"/>
  <c r="J32" i="2"/>
  <c r="L16" i="2"/>
  <c r="L15" i="2"/>
  <c r="G6" i="2"/>
  <c r="E122" i="2"/>
  <c r="I122" i="2"/>
  <c r="E47" i="2"/>
  <c r="E48" i="2"/>
  <c r="E49" i="2"/>
  <c r="E50" i="2"/>
  <c r="E51" i="2"/>
  <c r="E52" i="2"/>
  <c r="I52" i="2"/>
  <c r="E53" i="2"/>
  <c r="I53" i="2"/>
  <c r="J53" i="2"/>
  <c r="E54" i="2"/>
  <c r="E55" i="2"/>
  <c r="E56" i="2"/>
  <c r="I56" i="2"/>
  <c r="J56" i="2"/>
  <c r="E57" i="2"/>
  <c r="D47" i="2"/>
  <c r="I47" i="2" s="1"/>
  <c r="J47" i="2" s="1"/>
  <c r="D48" i="2"/>
  <c r="I48" i="2" s="1"/>
  <c r="J48" i="2" s="1"/>
  <c r="D49" i="2"/>
  <c r="F49" i="2" s="1"/>
  <c r="D50" i="2"/>
  <c r="F50" i="2" s="1"/>
  <c r="D51" i="2"/>
  <c r="I51" i="2" s="1"/>
  <c r="J51" i="2" s="1"/>
  <c r="D52" i="2"/>
  <c r="F52" i="2"/>
  <c r="D53" i="2"/>
  <c r="F53" i="2"/>
  <c r="D54" i="2"/>
  <c r="D55" i="2"/>
  <c r="I55" i="2"/>
  <c r="J55" i="2"/>
  <c r="D56" i="2"/>
  <c r="F56" i="2"/>
  <c r="D57" i="2"/>
  <c r="F57" i="2"/>
  <c r="G57" i="2"/>
  <c r="H53" i="2"/>
  <c r="I49" i="2"/>
  <c r="J49" i="2"/>
  <c r="I57" i="2"/>
  <c r="J57" i="2"/>
  <c r="J52" i="2"/>
  <c r="D122" i="2"/>
  <c r="F122" i="2"/>
  <c r="J122" i="2"/>
  <c r="H122" i="2"/>
  <c r="E121" i="2"/>
  <c r="D121" i="2"/>
  <c r="F121" i="2"/>
  <c r="H121" i="2"/>
  <c r="G121" i="2"/>
  <c r="E120" i="2"/>
  <c r="D120" i="2"/>
  <c r="I120" i="2"/>
  <c r="J120" i="2"/>
  <c r="E119" i="2"/>
  <c r="I119" i="2"/>
  <c r="J119" i="2"/>
  <c r="D119" i="2"/>
  <c r="F119" i="2"/>
  <c r="G119" i="2"/>
  <c r="H119" i="2"/>
  <c r="E118" i="2"/>
  <c r="D118" i="2"/>
  <c r="E117" i="2"/>
  <c r="D117" i="2"/>
  <c r="F117" i="2"/>
  <c r="H117" i="2"/>
  <c r="I117" i="2"/>
  <c r="J117" i="2"/>
  <c r="G117" i="2"/>
  <c r="E116" i="2"/>
  <c r="D116" i="2"/>
  <c r="G116" i="2"/>
  <c r="F116" i="2"/>
  <c r="H116" i="2"/>
  <c r="I116" i="2"/>
  <c r="J116" i="2"/>
  <c r="E115" i="2"/>
  <c r="D115" i="2"/>
  <c r="F115" i="2"/>
  <c r="H115" i="2"/>
  <c r="E114" i="2"/>
  <c r="D114" i="2"/>
  <c r="F114" i="2"/>
  <c r="I114" i="2"/>
  <c r="J114" i="2"/>
  <c r="H114" i="2"/>
  <c r="E113" i="2"/>
  <c r="D113" i="2"/>
  <c r="F113" i="2"/>
  <c r="H113" i="2"/>
  <c r="G113" i="2"/>
  <c r="E112" i="2"/>
  <c r="D112" i="2"/>
  <c r="I112" i="2"/>
  <c r="J112" i="2"/>
  <c r="E111" i="2"/>
  <c r="I111" i="2"/>
  <c r="D111" i="2"/>
  <c r="F111" i="2"/>
  <c r="J111" i="2"/>
  <c r="E110" i="2"/>
  <c r="D110" i="2"/>
  <c r="I110" i="2"/>
  <c r="J110" i="2"/>
  <c r="E109" i="2"/>
  <c r="D109" i="2"/>
  <c r="F109" i="2"/>
  <c r="H109" i="2"/>
  <c r="E108" i="2"/>
  <c r="D108" i="2"/>
  <c r="F108" i="2"/>
  <c r="H108" i="2"/>
  <c r="E107" i="2"/>
  <c r="D107" i="2"/>
  <c r="F107" i="2"/>
  <c r="H107" i="2"/>
  <c r="G107" i="2"/>
  <c r="E106" i="2"/>
  <c r="D106" i="2"/>
  <c r="E105" i="2"/>
  <c r="D105" i="2"/>
  <c r="F105" i="2"/>
  <c r="H105" i="2"/>
  <c r="G105" i="2"/>
  <c r="E104" i="2"/>
  <c r="D104" i="2"/>
  <c r="F104" i="2"/>
  <c r="H104" i="2"/>
  <c r="I104" i="2"/>
  <c r="J104" i="2"/>
  <c r="E103" i="2"/>
  <c r="I103" i="2"/>
  <c r="D103" i="2"/>
  <c r="F103" i="2"/>
  <c r="H103" i="2"/>
  <c r="J103" i="2"/>
  <c r="E102" i="2"/>
  <c r="D102" i="2"/>
  <c r="I102" i="2"/>
  <c r="J102" i="2"/>
  <c r="E101" i="2"/>
  <c r="D101" i="2"/>
  <c r="F101" i="2"/>
  <c r="H101" i="2"/>
  <c r="I101" i="2"/>
  <c r="J101" i="2"/>
  <c r="E100" i="2"/>
  <c r="I100" i="2"/>
  <c r="J100" i="2"/>
  <c r="D100" i="2"/>
  <c r="F100" i="2"/>
  <c r="E99" i="2"/>
  <c r="I99" i="2"/>
  <c r="D99" i="2"/>
  <c r="F99" i="2"/>
  <c r="G99" i="2"/>
  <c r="J99" i="2"/>
  <c r="H99" i="2"/>
  <c r="E98" i="2"/>
  <c r="D98" i="2"/>
  <c r="E97" i="2"/>
  <c r="D97" i="2"/>
  <c r="F97" i="2"/>
  <c r="H97" i="2"/>
  <c r="I97" i="2"/>
  <c r="J97" i="2"/>
  <c r="E96" i="2"/>
  <c r="I96" i="2"/>
  <c r="J96" i="2"/>
  <c r="D96" i="2"/>
  <c r="F96" i="2"/>
  <c r="E95" i="2"/>
  <c r="D95" i="2"/>
  <c r="F95" i="2"/>
  <c r="H95" i="2"/>
  <c r="G95" i="2"/>
  <c r="E94" i="2"/>
  <c r="D94" i="2"/>
  <c r="I94" i="2"/>
  <c r="J94" i="2"/>
  <c r="E93" i="2"/>
  <c r="D93" i="2"/>
  <c r="F93" i="2"/>
  <c r="E92" i="2"/>
  <c r="D92" i="2"/>
  <c r="F92" i="2"/>
  <c r="H92" i="2"/>
  <c r="E91" i="2"/>
  <c r="D91" i="2"/>
  <c r="F91" i="2"/>
  <c r="H91" i="2"/>
  <c r="I91" i="2"/>
  <c r="J91" i="2"/>
  <c r="G91" i="2"/>
  <c r="E90" i="2"/>
  <c r="D90" i="2"/>
  <c r="F90" i="2"/>
  <c r="H90" i="2"/>
  <c r="I90" i="2"/>
  <c r="J90" i="2"/>
  <c r="G90" i="2"/>
  <c r="E89" i="2"/>
  <c r="I89" i="2"/>
  <c r="J89" i="2"/>
  <c r="D89" i="2"/>
  <c r="F89" i="2"/>
  <c r="H89" i="2"/>
  <c r="G89" i="2"/>
  <c r="E88" i="2"/>
  <c r="D88" i="2"/>
  <c r="F88" i="2"/>
  <c r="H88" i="2"/>
  <c r="E87" i="2"/>
  <c r="D87" i="2"/>
  <c r="F87" i="2"/>
  <c r="I87" i="2"/>
  <c r="J87" i="2"/>
  <c r="H87" i="2"/>
  <c r="G87" i="2"/>
  <c r="E86" i="2"/>
  <c r="D86" i="2"/>
  <c r="I86" i="2"/>
  <c r="J86" i="2"/>
  <c r="E85" i="2"/>
  <c r="I85" i="2"/>
  <c r="J85" i="2"/>
  <c r="D85" i="2"/>
  <c r="F85" i="2"/>
  <c r="E84" i="2"/>
  <c r="D84" i="2"/>
  <c r="F84" i="2"/>
  <c r="I84" i="2"/>
  <c r="J84" i="2"/>
  <c r="H84" i="2"/>
  <c r="G84" i="2"/>
  <c r="E83" i="2"/>
  <c r="D83" i="2"/>
  <c r="E82" i="2"/>
  <c r="D82" i="2"/>
  <c r="F82" i="2"/>
  <c r="E81" i="2"/>
  <c r="D81" i="2"/>
  <c r="F81" i="2"/>
  <c r="H81" i="2"/>
  <c r="G81" i="2"/>
  <c r="E80" i="2"/>
  <c r="I80" i="2"/>
  <c r="J80" i="2"/>
  <c r="D80" i="2"/>
  <c r="F80" i="2"/>
  <c r="H80" i="2"/>
  <c r="E79" i="2"/>
  <c r="I79" i="2"/>
  <c r="J79" i="2"/>
  <c r="D79" i="2"/>
  <c r="F79" i="2"/>
  <c r="H79" i="2"/>
  <c r="G79" i="2"/>
  <c r="E78" i="2"/>
  <c r="D78" i="2"/>
  <c r="E77" i="2"/>
  <c r="D77" i="2"/>
  <c r="F77" i="2"/>
  <c r="G77" i="2"/>
  <c r="E76" i="2"/>
  <c r="D76" i="2"/>
  <c r="F76" i="2"/>
  <c r="H76" i="2"/>
  <c r="I76" i="2"/>
  <c r="J76" i="2"/>
  <c r="G76" i="2"/>
  <c r="E75" i="2"/>
  <c r="D75" i="2"/>
  <c r="I75" i="2"/>
  <c r="J75" i="2"/>
  <c r="E74" i="2"/>
  <c r="D74" i="2"/>
  <c r="I74" i="2"/>
  <c r="J74" i="2"/>
  <c r="F74" i="2"/>
  <c r="H74" i="2"/>
  <c r="E73" i="2"/>
  <c r="D73" i="2"/>
  <c r="F73" i="2"/>
  <c r="H73" i="2"/>
  <c r="E72" i="2"/>
  <c r="I72" i="2"/>
  <c r="J72" i="2"/>
  <c r="D72" i="2"/>
  <c r="F72" i="2"/>
  <c r="H72" i="2"/>
  <c r="E71" i="2"/>
  <c r="I71" i="2"/>
  <c r="J71" i="2"/>
  <c r="D71" i="2"/>
  <c r="F71" i="2"/>
  <c r="H71" i="2"/>
  <c r="G71" i="2"/>
  <c r="E70" i="2"/>
  <c r="I70" i="2"/>
  <c r="J70" i="2"/>
  <c r="D70" i="2"/>
  <c r="E69" i="2"/>
  <c r="D69" i="2"/>
  <c r="G69" i="2"/>
  <c r="F69" i="2"/>
  <c r="H69" i="2"/>
  <c r="E68" i="2"/>
  <c r="D68" i="2"/>
  <c r="F68" i="2"/>
  <c r="G68" i="2"/>
  <c r="I68" i="2"/>
  <c r="J68" i="2"/>
  <c r="E67" i="2"/>
  <c r="D67" i="2"/>
  <c r="I67" i="2"/>
  <c r="J67" i="2"/>
  <c r="E66" i="2"/>
  <c r="D66" i="2"/>
  <c r="I66" i="2"/>
  <c r="J66" i="2"/>
  <c r="F66" i="2"/>
  <c r="H66" i="2"/>
  <c r="E65" i="2"/>
  <c r="D65" i="2"/>
  <c r="F65" i="2"/>
  <c r="H65" i="2"/>
  <c r="E64" i="2"/>
  <c r="I64" i="2"/>
  <c r="J64" i="2"/>
  <c r="D64" i="2"/>
  <c r="F64" i="2"/>
  <c r="H64" i="2"/>
  <c r="E63" i="2"/>
  <c r="I63" i="2"/>
  <c r="D63" i="2"/>
  <c r="F63" i="2"/>
  <c r="J63" i="2"/>
  <c r="H63" i="2"/>
  <c r="G63" i="2"/>
  <c r="E62" i="2"/>
  <c r="D62" i="2"/>
  <c r="I62" i="2"/>
  <c r="J62" i="2"/>
  <c r="E61" i="2"/>
  <c r="D61" i="2"/>
  <c r="F61" i="2"/>
  <c r="H61" i="2"/>
  <c r="I61" i="2"/>
  <c r="J61" i="2"/>
  <c r="G61" i="2"/>
  <c r="E60" i="2"/>
  <c r="D60" i="2"/>
  <c r="F60" i="2"/>
  <c r="G60" i="2"/>
  <c r="I60" i="2"/>
  <c r="J60" i="2"/>
  <c r="H60" i="2"/>
  <c r="E59" i="2"/>
  <c r="D59" i="2"/>
  <c r="F59" i="2"/>
  <c r="E58" i="2"/>
  <c r="D58" i="2"/>
  <c r="F58" i="2"/>
  <c r="G58" i="2"/>
  <c r="I58" i="2"/>
  <c r="J58" i="2"/>
  <c r="N16" i="2"/>
  <c r="N15" i="2"/>
  <c r="N13" i="2"/>
  <c r="N12" i="2"/>
  <c r="M16" i="2"/>
  <c r="M15" i="2"/>
  <c r="K16" i="2"/>
  <c r="K15" i="2"/>
  <c r="K12" i="2"/>
  <c r="K13" i="2"/>
  <c r="A13" i="2"/>
  <c r="G7" i="2"/>
  <c r="G5" i="2"/>
  <c r="G4" i="2"/>
  <c r="T9" i="1"/>
  <c r="T10" i="1"/>
  <c r="T2" i="1"/>
  <c r="C17" i="1"/>
  <c r="Q78" i="1"/>
  <c r="Q79" i="1"/>
  <c r="Q77" i="1"/>
  <c r="Q73" i="1"/>
  <c r="Q49" i="1"/>
  <c r="Q50" i="1"/>
  <c r="Q51" i="1"/>
  <c r="Q52" i="1"/>
  <c r="Q53" i="1"/>
  <c r="Q54" i="1"/>
  <c r="Q55" i="1"/>
  <c r="Q56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M12" i="2"/>
  <c r="M13" i="2"/>
  <c r="H59" i="2"/>
  <c r="G59" i="2"/>
  <c r="I59" i="2"/>
  <c r="J59" i="2"/>
  <c r="H85" i="2"/>
  <c r="G85" i="2"/>
  <c r="H82" i="2"/>
  <c r="G82" i="2"/>
  <c r="G65" i="2"/>
  <c r="H58" i="2"/>
  <c r="G66" i="2"/>
  <c r="H68" i="2"/>
  <c r="G73" i="2"/>
  <c r="H77" i="2"/>
  <c r="I82" i="2"/>
  <c r="J82" i="2"/>
  <c r="H100" i="2"/>
  <c r="G100" i="2"/>
  <c r="I115" i="2"/>
  <c r="J115" i="2"/>
  <c r="G52" i="2"/>
  <c r="H52" i="2"/>
  <c r="F62" i="2"/>
  <c r="H62" i="2"/>
  <c r="I77" i="2"/>
  <c r="J77" i="2"/>
  <c r="G92" i="2"/>
  <c r="I73" i="2"/>
  <c r="J73" i="2"/>
  <c r="I69" i="2"/>
  <c r="J69" i="2"/>
  <c r="F86" i="2"/>
  <c r="H86" i="2"/>
  <c r="I95" i="2"/>
  <c r="J95" i="2"/>
  <c r="F102" i="2"/>
  <c r="H102" i="2"/>
  <c r="F78" i="2"/>
  <c r="H78" i="2"/>
  <c r="F83" i="2"/>
  <c r="H83" i="2"/>
  <c r="H111" i="2"/>
  <c r="G111" i="2"/>
  <c r="F75" i="2"/>
  <c r="H75" i="2"/>
  <c r="O12" i="2"/>
  <c r="O13" i="2"/>
  <c r="F70" i="2"/>
  <c r="H70" i="2"/>
  <c r="G103" i="2"/>
  <c r="F67" i="2"/>
  <c r="H67" i="2"/>
  <c r="G67" i="2"/>
  <c r="I81" i="2"/>
  <c r="J81" i="2"/>
  <c r="I88" i="2"/>
  <c r="J88" i="2"/>
  <c r="G96" i="2"/>
  <c r="H96" i="2"/>
  <c r="I105" i="2"/>
  <c r="J105" i="2"/>
  <c r="I107" i="2"/>
  <c r="J107" i="2"/>
  <c r="H93" i="2"/>
  <c r="G93" i="2"/>
  <c r="F54" i="2"/>
  <c r="I54" i="2"/>
  <c r="J54" i="2"/>
  <c r="L12" i="2"/>
  <c r="L13" i="2"/>
  <c r="I65" i="2"/>
  <c r="J65" i="2"/>
  <c r="G74" i="2"/>
  <c r="I78" i="2"/>
  <c r="J78" i="2"/>
  <c r="I83" i="2"/>
  <c r="J83" i="2"/>
  <c r="F106" i="2"/>
  <c r="H106" i="2"/>
  <c r="I106" i="2"/>
  <c r="J106" i="2"/>
  <c r="G108" i="2"/>
  <c r="I108" i="2"/>
  <c r="J108" i="2"/>
  <c r="I92" i="2"/>
  <c r="J92" i="2"/>
  <c r="G109" i="2"/>
  <c r="F120" i="2"/>
  <c r="H120" i="2"/>
  <c r="G120" i="2"/>
  <c r="F51" i="2"/>
  <c r="G51" i="2" s="1"/>
  <c r="G97" i="2"/>
  <c r="G104" i="2"/>
  <c r="F112" i="2"/>
  <c r="H112" i="2"/>
  <c r="G112" i="2"/>
  <c r="F118" i="2"/>
  <c r="H118" i="2"/>
  <c r="H56" i="2"/>
  <c r="G56" i="2"/>
  <c r="G64" i="2"/>
  <c r="G72" i="2"/>
  <c r="G80" i="2"/>
  <c r="G88" i="2"/>
  <c r="I93" i="2"/>
  <c r="J93" i="2"/>
  <c r="F94" i="2"/>
  <c r="H94" i="2"/>
  <c r="G94" i="2"/>
  <c r="G101" i="2"/>
  <c r="I109" i="2"/>
  <c r="J109" i="2"/>
  <c r="I121" i="2"/>
  <c r="J121" i="2"/>
  <c r="H57" i="2"/>
  <c r="F98" i="2"/>
  <c r="H98" i="2"/>
  <c r="I113" i="2"/>
  <c r="J113" i="2"/>
  <c r="F55" i="2"/>
  <c r="H55" i="2"/>
  <c r="G13" i="2"/>
  <c r="G12" i="2"/>
  <c r="I98" i="2"/>
  <c r="J98" i="2"/>
  <c r="G115" i="2"/>
  <c r="I118" i="2"/>
  <c r="J118" i="2"/>
  <c r="I50" i="2"/>
  <c r="J50" i="2"/>
  <c r="F110" i="2"/>
  <c r="H110" i="2"/>
  <c r="E12" i="2"/>
  <c r="F12" i="2"/>
  <c r="D13" i="2"/>
  <c r="G25" i="2"/>
  <c r="E15" i="3"/>
  <c r="G32" i="2"/>
  <c r="G53" i="2"/>
  <c r="G114" i="2"/>
  <c r="G122" i="2"/>
  <c r="E77" i="1"/>
  <c r="F77" i="1" s="1"/>
  <c r="E65" i="1"/>
  <c r="F65" i="1"/>
  <c r="P65" i="1" s="1"/>
  <c r="R65" i="1" s="1"/>
  <c r="E56" i="1"/>
  <c r="F56" i="1" s="1"/>
  <c r="E52" i="1"/>
  <c r="F52" i="1"/>
  <c r="E34" i="1"/>
  <c r="F34" i="1" s="1"/>
  <c r="E24" i="1"/>
  <c r="F24" i="1" s="1"/>
  <c r="E54" i="1"/>
  <c r="F54" i="1" s="1"/>
  <c r="E29" i="1"/>
  <c r="F29" i="1"/>
  <c r="E26" i="1"/>
  <c r="F26" i="1" s="1"/>
  <c r="E32" i="1"/>
  <c r="F32" i="1"/>
  <c r="E23" i="1"/>
  <c r="F23" i="1" s="1"/>
  <c r="E21" i="1"/>
  <c r="F21" i="1" s="1"/>
  <c r="E50" i="1"/>
  <c r="F50" i="1" s="1"/>
  <c r="E33" i="1"/>
  <c r="F33" i="1" s="1"/>
  <c r="E28" i="1"/>
  <c r="F28" i="1" s="1"/>
  <c r="E79" i="1"/>
  <c r="F79" i="1" s="1"/>
  <c r="E67" i="1"/>
  <c r="F67" i="1" s="1"/>
  <c r="E58" i="1"/>
  <c r="F58" i="1" s="1"/>
  <c r="E49" i="1"/>
  <c r="F49" i="1" s="1"/>
  <c r="E38" i="1"/>
  <c r="F38" i="1" s="1"/>
  <c r="E30" i="1"/>
  <c r="F30" i="1" s="1"/>
  <c r="E25" i="1"/>
  <c r="F25" i="1"/>
  <c r="G65" i="1"/>
  <c r="I65" i="1" s="1"/>
  <c r="E63" i="1"/>
  <c r="F63" i="1" s="1"/>
  <c r="E53" i="1"/>
  <c r="F53" i="1"/>
  <c r="E74" i="1"/>
  <c r="F74" i="1"/>
  <c r="U74" i="1" s="1"/>
  <c r="E31" i="1"/>
  <c r="F31" i="1" s="1"/>
  <c r="E22" i="1"/>
  <c r="F22" i="1"/>
  <c r="G22" i="1"/>
  <c r="I22" i="1" s="1"/>
  <c r="E41" i="3"/>
  <c r="E40" i="3"/>
  <c r="E14" i="3"/>
  <c r="E23" i="3"/>
  <c r="H54" i="2"/>
  <c r="G54" i="2"/>
  <c r="G25" i="1"/>
  <c r="I25" i="1" s="1"/>
  <c r="G52" i="1"/>
  <c r="I52" i="1"/>
  <c r="E42" i="3"/>
  <c r="E39" i="3"/>
  <c r="E18" i="3"/>
  <c r="G98" i="2"/>
  <c r="G75" i="2"/>
  <c r="G78" i="2"/>
  <c r="G86" i="2"/>
  <c r="G62" i="2"/>
  <c r="U29" i="1"/>
  <c r="E51" i="3"/>
  <c r="E48" i="3"/>
  <c r="E55" i="3"/>
  <c r="E68" i="3"/>
  <c r="E45" i="3"/>
  <c r="G110" i="2"/>
  <c r="G55" i="2"/>
  <c r="G118" i="2"/>
  <c r="G70" i="2"/>
  <c r="G102" i="2"/>
  <c r="U32" i="1"/>
  <c r="E17" i="3"/>
  <c r="E12" i="3"/>
  <c r="E43" i="3"/>
  <c r="E25" i="3"/>
  <c r="G106" i="2"/>
  <c r="G83" i="2"/>
  <c r="E49" i="3"/>
  <c r="E46" i="3"/>
  <c r="E18" i="2"/>
  <c r="D18" i="2"/>
  <c r="G27" i="2" l="1"/>
  <c r="H27" i="2"/>
  <c r="G50" i="2"/>
  <c r="H50" i="2"/>
  <c r="H31" i="2"/>
  <c r="G31" i="2"/>
  <c r="G49" i="2"/>
  <c r="H49" i="2"/>
  <c r="T16" i="1"/>
  <c r="P25" i="1"/>
  <c r="R25" i="1" s="1"/>
  <c r="H51" i="2"/>
  <c r="T11" i="1"/>
  <c r="T3" i="1"/>
  <c r="I28" i="2"/>
  <c r="J28" i="2" s="1"/>
  <c r="I41" i="2"/>
  <c r="J41" i="2" s="1"/>
  <c r="G42" i="2"/>
  <c r="P53" i="1"/>
  <c r="G41" i="2"/>
  <c r="T15" i="1"/>
  <c r="T7" i="1"/>
  <c r="G30" i="2"/>
  <c r="F21" i="2"/>
  <c r="G47" i="2"/>
  <c r="T14" i="1"/>
  <c r="T6" i="1"/>
  <c r="T8" i="1"/>
  <c r="P52" i="1"/>
  <c r="R52" i="1" s="1"/>
  <c r="G36" i="2"/>
  <c r="T13" i="1"/>
  <c r="T5" i="1"/>
  <c r="P22" i="1"/>
  <c r="R22" i="1" s="1"/>
  <c r="P32" i="1"/>
  <c r="F47" i="2"/>
  <c r="H47" i="2" s="1"/>
  <c r="T12" i="1"/>
  <c r="P34" i="1"/>
  <c r="G34" i="1"/>
  <c r="I34" i="1" s="1"/>
  <c r="G58" i="1"/>
  <c r="I58" i="1" s="1"/>
  <c r="P58" i="1"/>
  <c r="R58" i="1" s="1"/>
  <c r="P67" i="1"/>
  <c r="R67" i="1" s="1"/>
  <c r="G67" i="1"/>
  <c r="I67" i="1" s="1"/>
  <c r="G79" i="1"/>
  <c r="J79" i="1" s="1"/>
  <c r="P79" i="1"/>
  <c r="R79" i="1" s="1"/>
  <c r="G26" i="1"/>
  <c r="I26" i="1" s="1"/>
  <c r="P26" i="1"/>
  <c r="R26" i="1" s="1"/>
  <c r="P56" i="1"/>
  <c r="G56" i="1"/>
  <c r="I56" i="1" s="1"/>
  <c r="G47" i="1"/>
  <c r="I47" i="1" s="1"/>
  <c r="P47" i="1"/>
  <c r="P64" i="1"/>
  <c r="G64" i="1"/>
  <c r="I64" i="1" s="1"/>
  <c r="G57" i="1"/>
  <c r="I57" i="1" s="1"/>
  <c r="P57" i="1"/>
  <c r="R57" i="1" s="1"/>
  <c r="U28" i="1"/>
  <c r="P28" i="1"/>
  <c r="U27" i="1"/>
  <c r="P27" i="1"/>
  <c r="G33" i="1"/>
  <c r="I33" i="1" s="1"/>
  <c r="P33" i="1"/>
  <c r="R33" i="1" s="1"/>
  <c r="P30" i="1"/>
  <c r="G30" i="1"/>
  <c r="I30" i="1" s="1"/>
  <c r="G50" i="1"/>
  <c r="I50" i="1" s="1"/>
  <c r="P50" i="1"/>
  <c r="R50" i="1" s="1"/>
  <c r="G54" i="1"/>
  <c r="I54" i="1" s="1"/>
  <c r="P54" i="1"/>
  <c r="P77" i="1"/>
  <c r="G77" i="1"/>
  <c r="J77" i="1" s="1"/>
  <c r="G81" i="1"/>
  <c r="J81" i="1" s="1"/>
  <c r="P81" i="1"/>
  <c r="R81" i="1" s="1"/>
  <c r="P51" i="1"/>
  <c r="R51" i="1" s="1"/>
  <c r="G51" i="1"/>
  <c r="I51" i="1" s="1"/>
  <c r="U23" i="1"/>
  <c r="P23" i="1"/>
  <c r="P31" i="1"/>
  <c r="U31" i="1"/>
  <c r="G60" i="1"/>
  <c r="I60" i="1" s="1"/>
  <c r="P60" i="1"/>
  <c r="R60" i="1" s="1"/>
  <c r="P59" i="1"/>
  <c r="R59" i="1" s="1"/>
  <c r="G59" i="1"/>
  <c r="I59" i="1" s="1"/>
  <c r="R53" i="1"/>
  <c r="G38" i="1"/>
  <c r="I38" i="1" s="1"/>
  <c r="P38" i="1"/>
  <c r="P21" i="1"/>
  <c r="R21" i="1" s="1"/>
  <c r="G21" i="1"/>
  <c r="I21" i="1" s="1"/>
  <c r="P24" i="1"/>
  <c r="R24" i="1" s="1"/>
  <c r="U24" i="1"/>
  <c r="P80" i="1"/>
  <c r="G80" i="1"/>
  <c r="J80" i="1" s="1"/>
  <c r="P70" i="1"/>
  <c r="R70" i="1" s="1"/>
  <c r="G70" i="1"/>
  <c r="I70" i="1" s="1"/>
  <c r="P49" i="1"/>
  <c r="R49" i="1" s="1"/>
  <c r="G49" i="1"/>
  <c r="I49" i="1" s="1"/>
  <c r="G73" i="1"/>
  <c r="J73" i="1" s="1"/>
  <c r="P73" i="1"/>
  <c r="P69" i="1"/>
  <c r="G69" i="1"/>
  <c r="I69" i="1" s="1"/>
  <c r="P63" i="1"/>
  <c r="R63" i="1" s="1"/>
  <c r="G63" i="1"/>
  <c r="I63" i="1" s="1"/>
  <c r="G71" i="1"/>
  <c r="H71" i="1" s="1"/>
  <c r="P71" i="1"/>
  <c r="G48" i="1"/>
  <c r="I48" i="1" s="1"/>
  <c r="P48" i="1"/>
  <c r="E59" i="3"/>
  <c r="F42" i="1"/>
  <c r="G42" i="1" s="1"/>
  <c r="I42" i="1" s="1"/>
  <c r="E11" i="3"/>
  <c r="G53" i="1"/>
  <c r="I53" i="1" s="1"/>
  <c r="P74" i="1"/>
  <c r="R74" i="1" s="1"/>
  <c r="E37" i="1"/>
  <c r="E41" i="1"/>
  <c r="E62" i="1"/>
  <c r="E39" i="1"/>
  <c r="P82" i="1"/>
  <c r="R82" i="1" s="1"/>
  <c r="E27" i="3"/>
  <c r="E65" i="3"/>
  <c r="E19" i="3"/>
  <c r="P72" i="1"/>
  <c r="R72" i="1" s="1"/>
  <c r="E50" i="3"/>
  <c r="E33" i="3"/>
  <c r="E44" i="3"/>
  <c r="E36" i="1"/>
  <c r="E44" i="1"/>
  <c r="E75" i="1"/>
  <c r="E78" i="1"/>
  <c r="E68" i="1"/>
  <c r="E55" i="1"/>
  <c r="R32" i="1"/>
  <c r="E47" i="3"/>
  <c r="E38" i="3"/>
  <c r="E40" i="1"/>
  <c r="E46" i="1"/>
  <c r="E61" i="1"/>
  <c r="E76" i="1"/>
  <c r="E82" i="1"/>
  <c r="F82" i="1" s="1"/>
  <c r="G82" i="1" s="1"/>
  <c r="K82" i="1" s="1"/>
  <c r="E66" i="3"/>
  <c r="E35" i="1"/>
  <c r="E43" i="1"/>
  <c r="E35" i="3"/>
  <c r="F17" i="1"/>
  <c r="E45" i="1"/>
  <c r="G83" i="1"/>
  <c r="K83" i="1" s="1"/>
  <c r="P83" i="1"/>
  <c r="R83" i="1" s="1"/>
  <c r="H23" i="2"/>
  <c r="G23" i="2"/>
  <c r="H24" i="2"/>
  <c r="G24" i="2"/>
  <c r="I29" i="2"/>
  <c r="J29" i="2" s="1"/>
  <c r="F29" i="2"/>
  <c r="H29" i="2" s="1"/>
  <c r="F22" i="2"/>
  <c r="G22" i="2"/>
  <c r="I22" i="2"/>
  <c r="I34" i="2"/>
  <c r="J34" i="2" s="1"/>
  <c r="F34" i="2"/>
  <c r="H34" i="2" s="1"/>
  <c r="F40" i="2"/>
  <c r="I40" i="2"/>
  <c r="J40" i="2" s="1"/>
  <c r="G44" i="2"/>
  <c r="H44" i="2"/>
  <c r="F38" i="2"/>
  <c r="H38" i="2" s="1"/>
  <c r="F33" i="2"/>
  <c r="H28" i="2"/>
  <c r="H26" i="2"/>
  <c r="P42" i="1"/>
  <c r="R42" i="1" s="1"/>
  <c r="F48" i="2"/>
  <c r="F18" i="2"/>
  <c r="I18" i="2"/>
  <c r="G21" i="2" l="1"/>
  <c r="H21" i="2"/>
  <c r="E34" i="3"/>
  <c r="F78" i="1"/>
  <c r="F43" i="1"/>
  <c r="E60" i="3"/>
  <c r="F40" i="1"/>
  <c r="E57" i="3"/>
  <c r="E32" i="3"/>
  <c r="F75" i="1"/>
  <c r="R38" i="1"/>
  <c r="R31" i="1"/>
  <c r="R77" i="1"/>
  <c r="R64" i="1"/>
  <c r="F35" i="1"/>
  <c r="E52" i="3"/>
  <c r="E61" i="3"/>
  <c r="F44" i="1"/>
  <c r="R23" i="1"/>
  <c r="R54" i="1"/>
  <c r="R27" i="1"/>
  <c r="R47" i="1"/>
  <c r="E63" i="3"/>
  <c r="F46" i="1"/>
  <c r="E53" i="3"/>
  <c r="F36" i="1"/>
  <c r="E56" i="3"/>
  <c r="F39" i="1"/>
  <c r="R69" i="1"/>
  <c r="R80" i="1"/>
  <c r="R28" i="1"/>
  <c r="F62" i="1"/>
  <c r="E22" i="3"/>
  <c r="R48" i="1"/>
  <c r="R73" i="1"/>
  <c r="R56" i="1"/>
  <c r="F45" i="1"/>
  <c r="E62" i="3"/>
  <c r="E69" i="3"/>
  <c r="F76" i="1"/>
  <c r="E16" i="3"/>
  <c r="F55" i="1"/>
  <c r="E58" i="3"/>
  <c r="F41" i="1"/>
  <c r="E21" i="3"/>
  <c r="F61" i="1"/>
  <c r="F68" i="1"/>
  <c r="E28" i="3"/>
  <c r="E54" i="3"/>
  <c r="F37" i="1"/>
  <c r="R71" i="1"/>
  <c r="R30" i="1"/>
  <c r="R34" i="1"/>
  <c r="M6" i="2"/>
  <c r="H33" i="2"/>
  <c r="G33" i="2"/>
  <c r="G34" i="2"/>
  <c r="H48" i="2"/>
  <c r="G48" i="2"/>
  <c r="J22" i="2"/>
  <c r="G38" i="2"/>
  <c r="H22" i="2"/>
  <c r="H40" i="2"/>
  <c r="G40" i="2"/>
  <c r="G29" i="2"/>
  <c r="J18" i="2"/>
  <c r="H18" i="2"/>
  <c r="G18" i="2"/>
  <c r="G76" i="1" l="1"/>
  <c r="I76" i="1" s="1"/>
  <c r="P76" i="1"/>
  <c r="G62" i="1"/>
  <c r="I62" i="1" s="1"/>
  <c r="P62" i="1"/>
  <c r="P46" i="1"/>
  <c r="R46" i="1" s="1"/>
  <c r="G46" i="1"/>
  <c r="I46" i="1" s="1"/>
  <c r="P68" i="1"/>
  <c r="G68" i="1"/>
  <c r="I68" i="1" s="1"/>
  <c r="G35" i="1"/>
  <c r="I35" i="1" s="1"/>
  <c r="P35" i="1"/>
  <c r="D15" i="1"/>
  <c r="C19" i="1" s="1"/>
  <c r="D16" i="1"/>
  <c r="D19" i="1" s="1"/>
  <c r="P40" i="1"/>
  <c r="R40" i="1" s="1"/>
  <c r="G40" i="1"/>
  <c r="I40" i="1" s="1"/>
  <c r="G61" i="1"/>
  <c r="I61" i="1" s="1"/>
  <c r="P61" i="1"/>
  <c r="R61" i="1" s="1"/>
  <c r="P45" i="1"/>
  <c r="R45" i="1" s="1"/>
  <c r="G45" i="1"/>
  <c r="I45" i="1" s="1"/>
  <c r="P43" i="1"/>
  <c r="R43" i="1" s="1"/>
  <c r="G43" i="1"/>
  <c r="I43" i="1" s="1"/>
  <c r="P41" i="1"/>
  <c r="R41" i="1" s="1"/>
  <c r="G41" i="1"/>
  <c r="I41" i="1" s="1"/>
  <c r="G39" i="1"/>
  <c r="I39" i="1" s="1"/>
  <c r="P39" i="1"/>
  <c r="R39" i="1" s="1"/>
  <c r="G78" i="1"/>
  <c r="J78" i="1" s="1"/>
  <c r="P78" i="1"/>
  <c r="G37" i="1"/>
  <c r="I37" i="1" s="1"/>
  <c r="P37" i="1"/>
  <c r="P55" i="1"/>
  <c r="R55" i="1" s="1"/>
  <c r="G55" i="1"/>
  <c r="I55" i="1" s="1"/>
  <c r="P36" i="1"/>
  <c r="G36" i="1"/>
  <c r="I36" i="1" s="1"/>
  <c r="G44" i="1"/>
  <c r="I44" i="1" s="1"/>
  <c r="P44" i="1"/>
  <c r="P75" i="1"/>
  <c r="R75" i="1" s="1"/>
  <c r="G75" i="1"/>
  <c r="M5" i="2"/>
  <c r="M3" i="2"/>
  <c r="M4" i="2"/>
  <c r="M2" i="2"/>
  <c r="M1" i="2"/>
  <c r="C11" i="1"/>
  <c r="C12" i="1"/>
  <c r="C16" i="1" l="1"/>
  <c r="D18" i="1" s="1"/>
  <c r="O82" i="1"/>
  <c r="O78" i="1"/>
  <c r="O75" i="1"/>
  <c r="O73" i="1"/>
  <c r="O80" i="1"/>
  <c r="C15" i="1"/>
  <c r="O83" i="1"/>
  <c r="O81" i="1"/>
  <c r="O74" i="1"/>
  <c r="O77" i="1"/>
  <c r="O76" i="1"/>
  <c r="O72" i="1"/>
  <c r="O79" i="1"/>
  <c r="R36" i="1"/>
  <c r="R68" i="1"/>
  <c r="N75" i="1"/>
  <c r="R37" i="1"/>
  <c r="R62" i="1"/>
  <c r="R44" i="1"/>
  <c r="R78" i="1"/>
  <c r="R35" i="1"/>
  <c r="R76" i="1"/>
  <c r="M97" i="2"/>
  <c r="M93" i="2"/>
  <c r="M86" i="2"/>
  <c r="M87" i="2"/>
  <c r="M74" i="2"/>
  <c r="M61" i="2"/>
  <c r="M62" i="2"/>
  <c r="M51" i="2"/>
  <c r="M68" i="2"/>
  <c r="M81" i="2"/>
  <c r="M21" i="2"/>
  <c r="M60" i="2"/>
  <c r="M48" i="2"/>
  <c r="M119" i="2"/>
  <c r="M120" i="2"/>
  <c r="M78" i="2"/>
  <c r="M79" i="2"/>
  <c r="M66" i="2"/>
  <c r="M112" i="2"/>
  <c r="M41" i="2"/>
  <c r="M46" i="2"/>
  <c r="M67" i="2"/>
  <c r="M76" i="2"/>
  <c r="M59" i="2"/>
  <c r="M55" i="2"/>
  <c r="M30" i="2"/>
  <c r="M111" i="2"/>
  <c r="M116" i="2"/>
  <c r="M70" i="2"/>
  <c r="M71" i="2"/>
  <c r="M115" i="2"/>
  <c r="M100" i="2"/>
  <c r="M33" i="2"/>
  <c r="M43" i="2"/>
  <c r="M65" i="2"/>
  <c r="M75" i="2"/>
  <c r="M39" i="2"/>
  <c r="M45" i="2"/>
  <c r="M28" i="2"/>
  <c r="M7" i="2"/>
  <c r="E5" i="2" s="1"/>
  <c r="M114" i="2"/>
  <c r="M110" i="2"/>
  <c r="M63" i="2"/>
  <c r="M106" i="2"/>
  <c r="M89" i="2"/>
  <c r="M25" i="2"/>
  <c r="M35" i="2"/>
  <c r="M40" i="2"/>
  <c r="M64" i="2"/>
  <c r="M31" i="2"/>
  <c r="M42" i="2"/>
  <c r="M38" i="2"/>
  <c r="M102" i="2"/>
  <c r="M96" i="2"/>
  <c r="M107" i="2"/>
  <c r="M95" i="2"/>
  <c r="M50" i="2"/>
  <c r="M118" i="2"/>
  <c r="M27" i="2"/>
  <c r="M32" i="2"/>
  <c r="M52" i="2"/>
  <c r="M53" i="2"/>
  <c r="M34" i="2"/>
  <c r="M36" i="2"/>
  <c r="M121" i="2"/>
  <c r="M117" i="2"/>
  <c r="M122" i="2"/>
  <c r="M108" i="2"/>
  <c r="M99" i="2"/>
  <c r="M85" i="2"/>
  <c r="M98" i="2"/>
  <c r="M72" i="2"/>
  <c r="M88" i="2"/>
  <c r="M24" i="2"/>
  <c r="M49" i="2"/>
  <c r="M44" i="2"/>
  <c r="M26" i="2"/>
  <c r="M105" i="2"/>
  <c r="M101" i="2"/>
  <c r="M94" i="2"/>
  <c r="M92" i="2"/>
  <c r="M82" i="2"/>
  <c r="M69" i="2"/>
  <c r="M91" i="2"/>
  <c r="M54" i="2"/>
  <c r="M73" i="2"/>
  <c r="M56" i="2"/>
  <c r="M29" i="2"/>
  <c r="M83" i="2"/>
  <c r="M58" i="2"/>
  <c r="M57" i="2"/>
  <c r="M113" i="2"/>
  <c r="M80" i="2"/>
  <c r="M109" i="2"/>
  <c r="M23" i="2"/>
  <c r="M104" i="2"/>
  <c r="M37" i="2"/>
  <c r="M103" i="2"/>
  <c r="M84" i="2"/>
  <c r="M90" i="2"/>
  <c r="M22" i="2"/>
  <c r="M77" i="2"/>
  <c r="M47" i="2"/>
  <c r="E4" i="2"/>
  <c r="N100" i="2"/>
  <c r="N96" i="2"/>
  <c r="N111" i="2"/>
  <c r="N99" i="2"/>
  <c r="N48" i="2"/>
  <c r="N80" i="2"/>
  <c r="N30" i="2"/>
  <c r="N32" i="2"/>
  <c r="N29" i="2"/>
  <c r="N60" i="2"/>
  <c r="N62" i="2"/>
  <c r="N53" i="2"/>
  <c r="N57" i="2"/>
  <c r="N92" i="2"/>
  <c r="N115" i="2"/>
  <c r="N97" i="2"/>
  <c r="N90" i="2"/>
  <c r="N44" i="2"/>
  <c r="N72" i="2"/>
  <c r="N22" i="2"/>
  <c r="N24" i="2"/>
  <c r="N21" i="2"/>
  <c r="N55" i="2"/>
  <c r="N87" i="2"/>
  <c r="N36" i="2"/>
  <c r="N43" i="2"/>
  <c r="N122" i="2"/>
  <c r="N118" i="2"/>
  <c r="N89" i="2"/>
  <c r="N82" i="2"/>
  <c r="N95" i="2"/>
  <c r="N64" i="2"/>
  <c r="N113" i="2"/>
  <c r="N94" i="2"/>
  <c r="N33" i="2"/>
  <c r="N45" i="2"/>
  <c r="N86" i="2"/>
  <c r="N28" i="2"/>
  <c r="N27" i="2"/>
  <c r="N114" i="2"/>
  <c r="N117" i="2"/>
  <c r="N81" i="2"/>
  <c r="N74" i="2"/>
  <c r="N85" i="2"/>
  <c r="N119" i="2"/>
  <c r="N61" i="2"/>
  <c r="N76" i="2"/>
  <c r="N109" i="2"/>
  <c r="N42" i="2"/>
  <c r="N79" i="2"/>
  <c r="N41" i="2"/>
  <c r="N25" i="2"/>
  <c r="N106" i="2"/>
  <c r="N105" i="2"/>
  <c r="N73" i="2"/>
  <c r="N66" i="2"/>
  <c r="N77" i="2"/>
  <c r="N63" i="2"/>
  <c r="N101" i="2"/>
  <c r="N75" i="2"/>
  <c r="N84" i="2"/>
  <c r="N34" i="2"/>
  <c r="N59" i="2"/>
  <c r="N54" i="2"/>
  <c r="N120" i="2"/>
  <c r="N98" i="2"/>
  <c r="N65" i="2"/>
  <c r="N58" i="2"/>
  <c r="N69" i="2"/>
  <c r="N110" i="2"/>
  <c r="N68" i="2"/>
  <c r="N70" i="2"/>
  <c r="N83" i="2"/>
  <c r="N26" i="2"/>
  <c r="N39" i="2"/>
  <c r="N51" i="2"/>
  <c r="N108" i="2"/>
  <c r="N104" i="2"/>
  <c r="N121" i="2"/>
  <c r="N107" i="2"/>
  <c r="N52" i="2"/>
  <c r="N88" i="2"/>
  <c r="N38" i="2"/>
  <c r="N40" i="2"/>
  <c r="N37" i="2"/>
  <c r="N71" i="2"/>
  <c r="N47" i="2"/>
  <c r="N23" i="2"/>
  <c r="N46" i="2"/>
  <c r="N103" i="2"/>
  <c r="N31" i="2"/>
  <c r="N91" i="2"/>
  <c r="N56" i="2"/>
  <c r="N35" i="2"/>
  <c r="N102" i="2"/>
  <c r="N93" i="2"/>
  <c r="N67" i="2"/>
  <c r="N116" i="2"/>
  <c r="N49" i="2"/>
  <c r="N112" i="2"/>
  <c r="N78" i="2"/>
  <c r="N50" i="2"/>
  <c r="O24" i="2"/>
  <c r="O26" i="2"/>
  <c r="O107" i="2"/>
  <c r="O37" i="2"/>
  <c r="O94" i="2"/>
  <c r="O92" i="2"/>
  <c r="O88" i="2"/>
  <c r="O83" i="2"/>
  <c r="O51" i="2"/>
  <c r="O65" i="2"/>
  <c r="O55" i="2"/>
  <c r="O89" i="2"/>
  <c r="O23" i="2"/>
  <c r="O32" i="2"/>
  <c r="O34" i="2"/>
  <c r="O99" i="2"/>
  <c r="O45" i="2"/>
  <c r="O110" i="2"/>
  <c r="O90" i="2"/>
  <c r="O80" i="2"/>
  <c r="O75" i="2"/>
  <c r="O48" i="2"/>
  <c r="O49" i="2"/>
  <c r="O52" i="2"/>
  <c r="O63" i="2"/>
  <c r="O31" i="2"/>
  <c r="O40" i="2"/>
  <c r="O42" i="2"/>
  <c r="O28" i="2"/>
  <c r="O22" i="2"/>
  <c r="O100" i="2"/>
  <c r="O85" i="2"/>
  <c r="O72" i="2"/>
  <c r="O67" i="2"/>
  <c r="O120" i="2"/>
  <c r="O81" i="2"/>
  <c r="O121" i="2"/>
  <c r="O53" i="2"/>
  <c r="O39" i="2"/>
  <c r="O25" i="2"/>
  <c r="O46" i="2"/>
  <c r="O36" i="2"/>
  <c r="O30" i="2"/>
  <c r="O93" i="2"/>
  <c r="O77" i="2"/>
  <c r="O119" i="2"/>
  <c r="O33" i="2"/>
  <c r="O27" i="2"/>
  <c r="O44" i="2"/>
  <c r="O38" i="2"/>
  <c r="O84" i="2"/>
  <c r="O69" i="2"/>
  <c r="O114" i="2"/>
  <c r="O122" i="2"/>
  <c r="O96" i="2"/>
  <c r="O74" i="2"/>
  <c r="O87" i="2"/>
  <c r="O47" i="2"/>
  <c r="O111" i="2"/>
  <c r="O41" i="2"/>
  <c r="O35" i="2"/>
  <c r="O118" i="2"/>
  <c r="O113" i="2"/>
  <c r="O76" i="2"/>
  <c r="O61" i="2"/>
  <c r="O105" i="2"/>
  <c r="O58" i="2"/>
  <c r="O73" i="2"/>
  <c r="O71" i="2"/>
  <c r="O86" i="2"/>
  <c r="O62" i="2"/>
  <c r="O95" i="2"/>
  <c r="O109" i="2"/>
  <c r="O115" i="2"/>
  <c r="O29" i="2"/>
  <c r="O101" i="2"/>
  <c r="O108" i="2"/>
  <c r="O102" i="2"/>
  <c r="O91" i="2"/>
  <c r="O54" i="2"/>
  <c r="O66" i="2"/>
  <c r="O60" i="2"/>
  <c r="O79" i="2"/>
  <c r="O116" i="2"/>
  <c r="O97" i="2"/>
  <c r="O103" i="2"/>
  <c r="O98" i="2"/>
  <c r="O82" i="2"/>
  <c r="O117" i="2"/>
  <c r="O59" i="2"/>
  <c r="O50" i="2"/>
  <c r="O43" i="2"/>
  <c r="O57" i="2"/>
  <c r="O56" i="2"/>
  <c r="O21" i="2"/>
  <c r="O104" i="2"/>
  <c r="O112" i="2"/>
  <c r="O70" i="2"/>
  <c r="O106" i="2"/>
  <c r="O68" i="2"/>
  <c r="O78" i="2"/>
  <c r="O64" i="2"/>
  <c r="M18" i="2"/>
  <c r="N18" i="2"/>
  <c r="O18" i="2"/>
  <c r="E14" i="1" l="1"/>
  <c r="C18" i="1"/>
  <c r="F18" i="1"/>
  <c r="F19" i="1" s="1"/>
  <c r="E6" i="2"/>
  <c r="E9" i="2" s="1"/>
  <c r="K70" i="2" l="1"/>
  <c r="K65" i="2"/>
  <c r="K48" i="2"/>
  <c r="K42" i="2"/>
  <c r="K51" i="2"/>
  <c r="K108" i="2"/>
  <c r="K38" i="2"/>
  <c r="K62" i="2"/>
  <c r="K109" i="2"/>
  <c r="K55" i="2"/>
  <c r="K69" i="2"/>
  <c r="K121" i="2"/>
  <c r="K75" i="2"/>
  <c r="K110" i="2"/>
  <c r="K66" i="2"/>
  <c r="K120" i="2"/>
  <c r="K106" i="2"/>
  <c r="K26" i="2"/>
  <c r="K116" i="2"/>
  <c r="K111" i="2"/>
  <c r="K98" i="2"/>
  <c r="K33" i="2"/>
  <c r="K107" i="2"/>
  <c r="K86" i="2"/>
  <c r="K87" i="2"/>
  <c r="K25" i="2"/>
  <c r="K91" i="2"/>
  <c r="K101" i="2"/>
  <c r="K92" i="2"/>
  <c r="K49" i="2"/>
  <c r="K68" i="2"/>
  <c r="K118" i="2"/>
  <c r="K54" i="2"/>
  <c r="K119" i="2"/>
  <c r="K113" i="2"/>
  <c r="K80" i="2"/>
  <c r="K96" i="2"/>
  <c r="K76" i="2"/>
  <c r="K36" i="2"/>
  <c r="K24" i="2"/>
  <c r="K47" i="2"/>
  <c r="K61" i="2"/>
  <c r="K31" i="2"/>
  <c r="K103" i="2"/>
  <c r="K59" i="2"/>
  <c r="K104" i="2"/>
  <c r="K60" i="2"/>
  <c r="K64" i="2"/>
  <c r="K122" i="2"/>
  <c r="K67" i="2"/>
  <c r="K52" i="2"/>
  <c r="K72" i="2"/>
  <c r="K100" i="2"/>
  <c r="K117" i="2"/>
  <c r="K21" i="2"/>
  <c r="K102" i="2"/>
  <c r="K71" i="2"/>
  <c r="K45" i="2"/>
  <c r="K93" i="2"/>
  <c r="K37" i="2"/>
  <c r="K40" i="2"/>
  <c r="K83" i="2"/>
  <c r="K114" i="2"/>
  <c r="K29" i="2"/>
  <c r="K81" i="2"/>
  <c r="K35" i="2"/>
  <c r="K73" i="2"/>
  <c r="K27" i="2"/>
  <c r="K90" i="2"/>
  <c r="K30" i="2"/>
  <c r="K85" i="2"/>
  <c r="K112" i="2"/>
  <c r="K78" i="2"/>
  <c r="K34" i="2"/>
  <c r="K74" i="2"/>
  <c r="K32" i="2"/>
  <c r="K105" i="2"/>
  <c r="K88" i="2"/>
  <c r="K41" i="2"/>
  <c r="K53" i="2"/>
  <c r="K57" i="2"/>
  <c r="K43" i="2"/>
  <c r="K58" i="2"/>
  <c r="K44" i="2"/>
  <c r="K97" i="2"/>
  <c r="K63" i="2"/>
  <c r="K23" i="2"/>
  <c r="K115" i="2"/>
  <c r="K95" i="2"/>
  <c r="K28" i="2"/>
  <c r="K84" i="2"/>
  <c r="K56" i="2"/>
  <c r="K46" i="2"/>
  <c r="K82" i="2"/>
  <c r="K77" i="2"/>
  <c r="K94" i="2"/>
  <c r="K79" i="2"/>
  <c r="K22" i="2"/>
  <c r="K99" i="2"/>
  <c r="K50" i="2"/>
  <c r="K39" i="2"/>
  <c r="K89" i="2"/>
  <c r="L46" i="2" l="1"/>
  <c r="P46" i="2"/>
  <c r="L105" i="2"/>
  <c r="P105" i="2"/>
  <c r="P59" i="2"/>
  <c r="L59" i="2"/>
  <c r="L75" i="2"/>
  <c r="P75" i="2"/>
  <c r="P50" i="2"/>
  <c r="L50" i="2"/>
  <c r="P43" i="2"/>
  <c r="L43" i="2"/>
  <c r="L79" i="2"/>
  <c r="P79" i="2"/>
  <c r="P57" i="2"/>
  <c r="L57" i="2"/>
  <c r="L81" i="2"/>
  <c r="P81" i="2"/>
  <c r="P122" i="2"/>
  <c r="L122" i="2"/>
  <c r="P54" i="2"/>
  <c r="L54" i="2"/>
  <c r="P106" i="2"/>
  <c r="L106" i="2"/>
  <c r="P70" i="2"/>
  <c r="L70" i="2"/>
  <c r="P115" i="2"/>
  <c r="L115" i="2"/>
  <c r="L112" i="2"/>
  <c r="P112" i="2"/>
  <c r="L102" i="2"/>
  <c r="P102" i="2"/>
  <c r="L24" i="2"/>
  <c r="P24" i="2"/>
  <c r="P86" i="2"/>
  <c r="L86" i="2"/>
  <c r="L62" i="2"/>
  <c r="P62" i="2"/>
  <c r="L77" i="2"/>
  <c r="P77" i="2"/>
  <c r="L23" i="2"/>
  <c r="P23" i="2"/>
  <c r="L41" i="2"/>
  <c r="P41" i="2"/>
  <c r="L85" i="2"/>
  <c r="P85" i="2"/>
  <c r="L114" i="2"/>
  <c r="P114" i="2"/>
  <c r="P21" i="2"/>
  <c r="L21" i="2"/>
  <c r="F8" i="2"/>
  <c r="G9" i="2" s="1"/>
  <c r="L60" i="2"/>
  <c r="P60" i="2"/>
  <c r="P36" i="2"/>
  <c r="L36" i="2"/>
  <c r="P68" i="2"/>
  <c r="L68" i="2"/>
  <c r="P107" i="2"/>
  <c r="L107" i="2"/>
  <c r="P66" i="2"/>
  <c r="L66" i="2"/>
  <c r="P38" i="2"/>
  <c r="L38" i="2"/>
  <c r="P97" i="2"/>
  <c r="L97" i="2"/>
  <c r="P100" i="2"/>
  <c r="L100" i="2"/>
  <c r="P51" i="2"/>
  <c r="L51" i="2"/>
  <c r="P22" i="2"/>
  <c r="L22" i="2"/>
  <c r="L34" i="2"/>
  <c r="P34" i="2"/>
  <c r="L95" i="2"/>
  <c r="P95" i="2"/>
  <c r="L78" i="2"/>
  <c r="P78" i="2"/>
  <c r="L71" i="2"/>
  <c r="P71" i="2"/>
  <c r="P47" i="2"/>
  <c r="L47" i="2"/>
  <c r="P87" i="2"/>
  <c r="L87" i="2"/>
  <c r="P109" i="2"/>
  <c r="L109" i="2"/>
  <c r="L94" i="2"/>
  <c r="P94" i="2"/>
  <c r="P53" i="2"/>
  <c r="L53" i="2"/>
  <c r="P29" i="2"/>
  <c r="L29" i="2"/>
  <c r="L64" i="2"/>
  <c r="P64" i="2"/>
  <c r="L118" i="2"/>
  <c r="P118" i="2"/>
  <c r="P120" i="2"/>
  <c r="L120" i="2"/>
  <c r="L89" i="2"/>
  <c r="P89" i="2"/>
  <c r="L82" i="2"/>
  <c r="P82" i="2"/>
  <c r="P63" i="2"/>
  <c r="L63" i="2"/>
  <c r="L88" i="2"/>
  <c r="P88" i="2"/>
  <c r="P30" i="2"/>
  <c r="L30" i="2"/>
  <c r="L83" i="2"/>
  <c r="P83" i="2"/>
  <c r="L117" i="2"/>
  <c r="P117" i="2"/>
  <c r="L104" i="2"/>
  <c r="P104" i="2"/>
  <c r="L76" i="2"/>
  <c r="P76" i="2"/>
  <c r="L49" i="2"/>
  <c r="P49" i="2"/>
  <c r="L33" i="2"/>
  <c r="P33" i="2"/>
  <c r="L110" i="2"/>
  <c r="P110" i="2"/>
  <c r="L108" i="2"/>
  <c r="P108" i="2"/>
  <c r="L39" i="2"/>
  <c r="P39" i="2"/>
  <c r="P96" i="2"/>
  <c r="L96" i="2"/>
  <c r="P40" i="2"/>
  <c r="L40" i="2"/>
  <c r="L98" i="2"/>
  <c r="P98" i="2"/>
  <c r="L56" i="2"/>
  <c r="P56" i="2"/>
  <c r="P44" i="2"/>
  <c r="L44" i="2"/>
  <c r="L32" i="2"/>
  <c r="P32" i="2"/>
  <c r="L27" i="2"/>
  <c r="P27" i="2"/>
  <c r="L37" i="2"/>
  <c r="P37" i="2"/>
  <c r="L72" i="2"/>
  <c r="P72" i="2"/>
  <c r="P103" i="2"/>
  <c r="L103" i="2"/>
  <c r="P80" i="2"/>
  <c r="L80" i="2"/>
  <c r="L101" i="2"/>
  <c r="P101" i="2"/>
  <c r="L111" i="2"/>
  <c r="P111" i="2"/>
  <c r="L121" i="2"/>
  <c r="P121" i="2"/>
  <c r="L42" i="2"/>
  <c r="P42" i="2"/>
  <c r="P99" i="2"/>
  <c r="L99" i="2"/>
  <c r="L84" i="2"/>
  <c r="P84" i="2"/>
  <c r="L58" i="2"/>
  <c r="P58" i="2"/>
  <c r="P74" i="2"/>
  <c r="L74" i="2"/>
  <c r="P73" i="2"/>
  <c r="L73" i="2"/>
  <c r="P93" i="2"/>
  <c r="L93" i="2"/>
  <c r="P52" i="2"/>
  <c r="L52" i="2"/>
  <c r="L31" i="2"/>
  <c r="P31" i="2"/>
  <c r="L113" i="2"/>
  <c r="P113" i="2"/>
  <c r="L91" i="2"/>
  <c r="P91" i="2"/>
  <c r="L116" i="2"/>
  <c r="P116" i="2"/>
  <c r="L69" i="2"/>
  <c r="P69" i="2"/>
  <c r="P48" i="2"/>
  <c r="L48" i="2"/>
  <c r="L90" i="2"/>
  <c r="P90" i="2"/>
  <c r="P92" i="2"/>
  <c r="L92" i="2"/>
  <c r="P28" i="2"/>
  <c r="L28" i="2"/>
  <c r="P35" i="2"/>
  <c r="L35" i="2"/>
  <c r="L45" i="2"/>
  <c r="P45" i="2"/>
  <c r="P67" i="2"/>
  <c r="L67" i="2"/>
  <c r="L61" i="2"/>
  <c r="P61" i="2"/>
  <c r="P119" i="2"/>
  <c r="L119" i="2"/>
  <c r="L25" i="2"/>
  <c r="P25" i="2"/>
  <c r="P26" i="2"/>
  <c r="L26" i="2"/>
  <c r="L55" i="2"/>
  <c r="P55" i="2"/>
  <c r="L65" i="2"/>
  <c r="P65" i="2"/>
  <c r="L18" i="2"/>
  <c r="E7" i="2" l="1"/>
  <c r="F4" i="2" l="1"/>
  <c r="H4" i="2" s="1"/>
  <c r="F6" i="2"/>
  <c r="H6" i="2" s="1"/>
  <c r="F9" i="2" s="1"/>
  <c r="F5" i="2"/>
  <c r="H5" i="2" s="1"/>
</calcChain>
</file>

<file path=xl/sharedStrings.xml><?xml version="1.0" encoding="utf-8"?>
<sst xmlns="http://schemas.openxmlformats.org/spreadsheetml/2006/main" count="760" uniqueCount="393">
  <si>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</si>
  <si>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</si>
  <si>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</si>
  <si>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</si>
  <si>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</si>
  <si>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</si>
  <si>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</si>
  <si>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</si>
  <si>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</si>
  <si>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</si>
  <si>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</si>
  <si>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</si>
  <si>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</si>
  <si>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</si>
  <si>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</si>
  <si>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</si>
  <si>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</si>
  <si>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</si>
  <si>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</si>
  <si>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</si>
  <si>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</si>
  <si>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</si>
  <si>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</si>
  <si>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</si>
  <si>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</si>
  <si>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</si>
  <si>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</si>
  <si>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</si>
  <si>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Bull.11</t>
  </si>
  <si>
    <t>B</t>
  </si>
  <si>
    <t>v</t>
  </si>
  <si>
    <t>Peter H</t>
  </si>
  <si>
    <t>BBSAG Bull.15</t>
  </si>
  <si>
    <t>:</t>
  </si>
  <si>
    <t>BBSAG Bull.19</t>
  </si>
  <si>
    <t>BBSAG 21</t>
  </si>
  <si>
    <t>K</t>
  </si>
  <si>
    <t>BBSAG Bull.21</t>
  </si>
  <si>
    <t>AN 302,6,327</t>
  </si>
  <si>
    <t>BBSAG Bull.26</t>
  </si>
  <si>
    <t>BBSAG Bull.27</t>
  </si>
  <si>
    <t>BBSAG Bull.36</t>
  </si>
  <si>
    <t>BBSAG Bull.54</t>
  </si>
  <si>
    <t>BBSAG Bull.59</t>
  </si>
  <si>
    <t>BBSAG Bull.64</t>
  </si>
  <si>
    <t>BBSAG Bull.70</t>
  </si>
  <si>
    <t>BBSAG Bull.82</t>
  </si>
  <si>
    <t>BBSAG Bull.83</t>
  </si>
  <si>
    <t>BBSAG Bull.91</t>
  </si>
  <si>
    <t>BRNO 31</t>
  </si>
  <si>
    <t>BBSAG Bull.97</t>
  </si>
  <si>
    <t>BBSAG Bull.114</t>
  </si>
  <si>
    <t># of data points:</t>
  </si>
  <si>
    <t>IBVS 5438</t>
  </si>
  <si>
    <t>I</t>
  </si>
  <si>
    <t>TU Cnc / gsc 0811-1171</t>
  </si>
  <si>
    <t>My time zone &gt;&gt;&gt;&gt;&gt;</t>
  </si>
  <si>
    <t>(PST=8, PDT=MDT=7, MDT=CST=6, etc.)</t>
  </si>
  <si>
    <t>JD today</t>
  </si>
  <si>
    <t>New Cycle</t>
  </si>
  <si>
    <t>Next ToM</t>
  </si>
  <si>
    <t>IBVS 5802</t>
  </si>
  <si>
    <t>EA/SD</t>
  </si>
  <si>
    <t>IBVS 5871</t>
  </si>
  <si>
    <t>IBVS 5874</t>
  </si>
  <si>
    <t>Start of linear fit &gt;&gt;&gt;&gt;&gt;&gt;&gt;&gt;&gt;&gt;&gt;&gt;&gt;&gt;&gt;&gt;&gt;&gt;&gt;&gt;&gt;</t>
  </si>
  <si>
    <t>Q.fit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</si>
  <si>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</si>
  <si>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</si>
  <si>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</si>
  <si>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</si>
  <si>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</si>
  <si>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</si>
  <si>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</si>
  <si>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</si>
  <si>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</si>
  <si>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</si>
  <si>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</si>
  <si>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</si>
  <si>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</si>
  <si>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</si>
  <si>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</si>
  <si>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</si>
  <si>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</si>
  <si>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</si>
  <si>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</si>
  <si>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</si>
  <si>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</si>
  <si>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</si>
  <si>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</si>
  <si>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</si>
  <si>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</si>
  <si>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</si>
  <si>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</si>
  <si>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</si>
  <si>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</si>
  <si>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</si>
  <si>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</si>
  <si>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</si>
  <si>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</si>
  <si>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</si>
  <si>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</si>
  <si>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>H</t>
  </si>
  <si>
    <t>J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</si>
  <si>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</si>
  <si>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</si>
  <si>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</si>
  <si>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</si>
  <si>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</si>
  <si>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</si>
  <si>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</si>
  <si>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</si>
  <si>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</si>
  <si>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</si>
  <si>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Sum &gt;&gt;&gt;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</si>
  <si>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</si>
  <si>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</si>
  <si>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</si>
  <si>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</si>
  <si>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</si>
  <si>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</si>
  <si>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</si>
  <si>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</si>
  <si>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</si>
  <si>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</si>
  <si>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</si>
  <si>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</si>
  <si>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</si>
  <si>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</si>
  <si>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</si>
  <si>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</si>
  <si>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</si>
  <si>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</si>
  <si>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</si>
  <si>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</si>
  <si>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</si>
  <si>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</si>
  <si>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</si>
  <si>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</si>
  <si>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</si>
  <si>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</si>
  <si>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</si>
  <si>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</si>
  <si>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t>Correlation =</t>
  </si>
  <si>
    <t>IBVS 6010</t>
  </si>
  <si>
    <t>OEJV 0001</t>
  </si>
  <si>
    <t>vis</t>
  </si>
  <si>
    <t>IBVS 6149</t>
  </si>
  <si>
    <t>Minima from the Lichtenknecker Database of the BAV</t>
  </si>
  <si>
    <t>CCD</t>
  </si>
  <si>
    <t>PE</t>
  </si>
  <si>
    <t>http://www.bav-astro.de/LkDB/index.php?lang=en&amp;sprache_dial=en</t>
  </si>
  <si>
    <t>pg</t>
  </si>
  <si>
    <t> -0.003 </t>
  </si>
  <si>
    <t>F </t>
  </si>
  <si>
    <t>2421284.2 </t>
  </si>
  <si>
    <t> 24.02.1917 16:48 </t>
  </si>
  <si>
    <t> 0.2 </t>
  </si>
  <si>
    <t>P </t>
  </si>
  <si>
    <t> P.Shajn </t>
  </si>
  <si>
    <t> AN 252.201 </t>
  </si>
  <si>
    <t>2425644.376 </t>
  </si>
  <si>
    <t> 01.02.1929 21:01 </t>
  </si>
  <si>
    <t> 0.130 </t>
  </si>
  <si>
    <t> A.Jensch </t>
  </si>
  <si>
    <t> AN 253.206 </t>
  </si>
  <si>
    <t>2426000.511 </t>
  </si>
  <si>
    <t> 24.01.1930 00:15 </t>
  </si>
  <si>
    <t> 0.330 </t>
  </si>
  <si>
    <t>2426039.428 </t>
  </si>
  <si>
    <t> 03.03.1930 22:16 </t>
  </si>
  <si>
    <t> 0.317 </t>
  </si>
  <si>
    <t>2426089.353 </t>
  </si>
  <si>
    <t> 22.04.1930 20:28 </t>
  </si>
  <si>
    <t> 0.189 </t>
  </si>
  <si>
    <t>2426417.440 </t>
  </si>
  <si>
    <t> 16.03.1931 22:33 </t>
  </si>
  <si>
    <t> 0.148 </t>
  </si>
  <si>
    <t>2426745.396 </t>
  </si>
  <si>
    <t> 07.02.1932 21:30 </t>
  </si>
  <si>
    <t> -0.023 </t>
  </si>
  <si>
    <t>2426984.627 </t>
  </si>
  <si>
    <t> 04.10.1932 03:02 </t>
  </si>
  <si>
    <t> 0.065 </t>
  </si>
  <si>
    <t>2427062.444 </t>
  </si>
  <si>
    <t> 20.12.1932 22:39 </t>
  </si>
  <si>
    <t> 0.021 </t>
  </si>
  <si>
    <t>2427101.506 </t>
  </si>
  <si>
    <t> 29.01.1933 00:08 </t>
  </si>
  <si>
    <t> 0.153 </t>
  </si>
  <si>
    <t> H.Rügemer </t>
  </si>
  <si>
    <t> AN 255.176 </t>
  </si>
  <si>
    <t>2427157.337 </t>
  </si>
  <si>
    <t> 25.03.1933 20:05 </t>
  </si>
  <si>
    <t> 0.369 </t>
  </si>
  <si>
    <t>2427396.496 </t>
  </si>
  <si>
    <t> 19.11.1933 23:54 </t>
  </si>
  <si>
    <t> 0.384 </t>
  </si>
  <si>
    <t>2427435.250 </t>
  </si>
  <si>
    <t> 28.12.1933 18:00 </t>
  </si>
  <si>
    <t> 0.208 </t>
  </si>
  <si>
    <t> S.Gaposchkin </t>
  </si>
  <si>
    <t> HA 113.71 </t>
  </si>
  <si>
    <t>2427457.404 </t>
  </si>
  <si>
    <t> 19.01.1934 21:41 </t>
  </si>
  <si>
    <t> 0.116 </t>
  </si>
  <si>
    <t>2428547.515 </t>
  </si>
  <si>
    <t> 14.01.1937 00:21 </t>
  </si>
  <si>
    <t> 0.177 </t>
  </si>
  <si>
    <t>V </t>
  </si>
  <si>
    <t> F.Lause </t>
  </si>
  <si>
    <t> AN 277.40 </t>
  </si>
  <si>
    <t>2428636.512 </t>
  </si>
  <si>
    <t> 13.04.1937 00:17 </t>
  </si>
  <si>
    <t> 0.191 </t>
  </si>
  <si>
    <t>2428953.508 </t>
  </si>
  <si>
    <t> 24.02.1938 00:11 </t>
  </si>
  <si>
    <t> 0.182 </t>
  </si>
  <si>
    <t>2428964.638 </t>
  </si>
  <si>
    <t> 07.03.1938 03:18 </t>
  </si>
  <si>
    <t>2428981.316 </t>
  </si>
  <si>
    <t> 23.03.1938 19:35 </t>
  </si>
  <si>
    <t> 0.183 </t>
  </si>
  <si>
    <t>2430760.991 </t>
  </si>
  <si>
    <t> 05.02.1943 11:47 </t>
  </si>
  <si>
    <t> 0.185 </t>
  </si>
  <si>
    <t> B.S.Whitney </t>
  </si>
  <si>
    <t> AJ 64.260 </t>
  </si>
  <si>
    <t>2431550.742 </t>
  </si>
  <si>
    <t> 05.04.1945 05:48 </t>
  </si>
  <si>
    <t> 0.206 </t>
  </si>
  <si>
    <t>2432156.917 </t>
  </si>
  <si>
    <t> 02.12.1946 10:00 </t>
  </si>
  <si>
    <t> 0.180 </t>
  </si>
  <si>
    <t>2432301.555 </t>
  </si>
  <si>
    <t> 26.04.1947 01:19 </t>
  </si>
  <si>
    <t> 0.220 </t>
  </si>
  <si>
    <t>2432540.671 </t>
  </si>
  <si>
    <t> 21.12.1947 04:06 </t>
  </si>
  <si>
    <t> 0.192 </t>
  </si>
  <si>
    <t>2432668.580 </t>
  </si>
  <si>
    <t> 27.04.1948 01:55 </t>
  </si>
  <si>
    <t> 0.187 </t>
  </si>
  <si>
    <t>2433007.815 </t>
  </si>
  <si>
    <t> 01.04.1949 07:33 </t>
  </si>
  <si>
    <t> 0.172 </t>
  </si>
  <si>
    <t>2433246.979 </t>
  </si>
  <si>
    <t> 26.11.1949 11:29 </t>
  </si>
  <si>
    <t>2435966.515 </t>
  </si>
  <si>
    <t> 08.05.1957 00:21 </t>
  </si>
  <si>
    <t> 0.166 </t>
  </si>
  <si>
    <t>2441950.650 </t>
  </si>
  <si>
    <t> 25.09.1973 03:36 </t>
  </si>
  <si>
    <t> 0.150 </t>
  </si>
  <si>
    <t> K.Locher </t>
  </si>
  <si>
    <t> BBS 11 </t>
  </si>
  <si>
    <t>2442156.402 </t>
  </si>
  <si>
    <t> 18.04.1974 21:38 </t>
  </si>
  <si>
    <t> 0.128 </t>
  </si>
  <si>
    <t> H.Peter </t>
  </si>
  <si>
    <t> BBS 15 </t>
  </si>
  <si>
    <t>2442395.517 </t>
  </si>
  <si>
    <t> 14.12.1974 00:24 </t>
  </si>
  <si>
    <t> 0.099 </t>
  </si>
  <si>
    <t> BBS 19 </t>
  </si>
  <si>
    <t>2442473.411 </t>
  </si>
  <si>
    <t> 01.03.1975 21:51 </t>
  </si>
  <si>
    <t> 0.132 </t>
  </si>
  <si>
    <t> BBS 21 </t>
  </si>
  <si>
    <t>2442812.644 </t>
  </si>
  <si>
    <t> 04.02.1976 03:27 </t>
  </si>
  <si>
    <t> 0.115 </t>
  </si>
  <si>
    <t> M.Winiarski </t>
  </si>
  <si>
    <t> AN 301.327 </t>
  </si>
  <si>
    <t>2442829.332 </t>
  </si>
  <si>
    <t> 20.02.1976 19:58 </t>
  </si>
  <si>
    <t> 0.119 </t>
  </si>
  <si>
    <t> BBS 26 </t>
  </si>
  <si>
    <t>2442840.454 </t>
  </si>
  <si>
    <t> 02.03.1976 22:53 </t>
  </si>
  <si>
    <t> 0.118 </t>
  </si>
  <si>
    <t> BBS 27 </t>
  </si>
  <si>
    <t>2443213.088 </t>
  </si>
  <si>
    <t> 10.03.1977 14:06 </t>
  </si>
  <si>
    <t> 0.133 </t>
  </si>
  <si>
    <t> K.Hirosawa </t>
  </si>
  <si>
    <t>VSB 47 </t>
  </si>
  <si>
    <t>2443552.336 </t>
  </si>
  <si>
    <t> 12.02.1978 20:03 </t>
  </si>
  <si>
    <t> 0.131 </t>
  </si>
  <si>
    <t> BBS 36 </t>
  </si>
  <si>
    <t>2444731.341 </t>
  </si>
  <si>
    <t> 06.05.1981 20:11 </t>
  </si>
  <si>
    <t> 0.102 </t>
  </si>
  <si>
    <t> BBS 54 </t>
  </si>
  <si>
    <t>2445048.345 </t>
  </si>
  <si>
    <t> 19.03.1982 20:16 </t>
  </si>
  <si>
    <t> BBS 59 </t>
  </si>
  <si>
    <t>2445298.601 </t>
  </si>
  <si>
    <t> 25.11.1982 02:25 </t>
  </si>
  <si>
    <t> 0.092 </t>
  </si>
  <si>
    <t> BBS 64 </t>
  </si>
  <si>
    <t>2445693.457 </t>
  </si>
  <si>
    <t> 24.12.1983 22:58 </t>
  </si>
  <si>
    <t> 0.083 </t>
  </si>
  <si>
    <t> BBS 70 </t>
  </si>
  <si>
    <t>2446744.581 </t>
  </si>
  <si>
    <t> 10.11.1986 01:56 </t>
  </si>
  <si>
    <t> 0.087 </t>
  </si>
  <si>
    <t> BBS 82 </t>
  </si>
  <si>
    <t>2446861.363 </t>
  </si>
  <si>
    <t> 06.03.1987 20:42 </t>
  </si>
  <si>
    <t> 0.078 </t>
  </si>
  <si>
    <t> BBS 83 </t>
  </si>
  <si>
    <t>2447595.429 </t>
  </si>
  <si>
    <t> 09.03.1989 22:17 </t>
  </si>
  <si>
    <t> 0.029 </t>
  </si>
  <si>
    <t> BBS 91 </t>
  </si>
  <si>
    <t>2448290.554 </t>
  </si>
  <si>
    <t> 03.02.1991 01:17 </t>
  </si>
  <si>
    <t> -0.031 </t>
  </si>
  <si>
    <t> A.Dedoch </t>
  </si>
  <si>
    <t> BRNO 31 </t>
  </si>
  <si>
    <t>2448357.345 </t>
  </si>
  <si>
    <t> 10.04.1991 20:16 </t>
  </si>
  <si>
    <t> 0.023 </t>
  </si>
  <si>
    <t> BBS 97 </t>
  </si>
  <si>
    <t>2448357.355 </t>
  </si>
  <si>
    <t> 10.04.1991 20:31 </t>
  </si>
  <si>
    <t> 0.033 </t>
  </si>
  <si>
    <t>2450487.387 </t>
  </si>
  <si>
    <t> 07.02.1997 21:17 </t>
  </si>
  <si>
    <t> 0.019 </t>
  </si>
  <si>
    <t> BBS 114 </t>
  </si>
  <si>
    <t>2450487.398 </t>
  </si>
  <si>
    <t> 07.02.1997 21:33 </t>
  </si>
  <si>
    <t> 0.030 </t>
  </si>
  <si>
    <t>2452022.340 </t>
  </si>
  <si>
    <t> 22.04.2001 20:09 </t>
  </si>
  <si>
    <t> 0.004 </t>
  </si>
  <si>
    <t> BBS 125 </t>
  </si>
  <si>
    <t>2452667.474 </t>
  </si>
  <si>
    <t> 27.01.2003 23:22 </t>
  </si>
  <si>
    <t> 0.006 </t>
  </si>
  <si>
    <t> BBS 129 </t>
  </si>
  <si>
    <t>2452689.688 </t>
  </si>
  <si>
    <t> 19.02.2003 04:30 </t>
  </si>
  <si>
    <t> -0.026 </t>
  </si>
  <si>
    <t> R.Meyer </t>
  </si>
  <si>
    <t>BAVM 157 </t>
  </si>
  <si>
    <t>2453440.517 </t>
  </si>
  <si>
    <t> 11.03.2005 00:24 </t>
  </si>
  <si>
    <t>BAVM 174 </t>
  </si>
  <si>
    <t>2454085.642 </t>
  </si>
  <si>
    <t> 16.12.2006 03:24 </t>
  </si>
  <si>
    <t>BAVM 192 </t>
  </si>
  <si>
    <t>2454202.4358 </t>
  </si>
  <si>
    <t> 11.04.2007 22:27 </t>
  </si>
  <si>
    <t> 0.0001 </t>
  </si>
  <si>
    <t>C </t>
  </si>
  <si>
    <t>-I</t>
  </si>
  <si>
    <t> F.Agerer </t>
  </si>
  <si>
    <t>BAVM 186 </t>
  </si>
  <si>
    <t>2454508.3158 </t>
  </si>
  <si>
    <t> 11.02.2008 19:34 </t>
  </si>
  <si>
    <t>-205</t>
  </si>
  <si>
    <t> -0.0012 </t>
  </si>
  <si>
    <t>BAVM 201 </t>
  </si>
  <si>
    <t>2454830.8810 </t>
  </si>
  <si>
    <t> 30.12.2008 09:08 </t>
  </si>
  <si>
    <t>-147</t>
  </si>
  <si>
    <t> -0.0017 </t>
  </si>
  <si>
    <t> R.Diethelm </t>
  </si>
  <si>
    <t>IBVS 5871 </t>
  </si>
  <si>
    <t>2455648.4197 </t>
  </si>
  <si>
    <t> 27.03.2011 22:04 </t>
  </si>
  <si>
    <t>0</t>
  </si>
  <si>
    <t> -0.0003 </t>
  </si>
  <si>
    <t>o</t>
  </si>
  <si>
    <t> U.Schmidt </t>
  </si>
  <si>
    <t>BAVM 220 </t>
  </si>
  <si>
    <t>2456727.3487 </t>
  </si>
  <si>
    <t> 10.03.2014 20:22 </t>
  </si>
  <si>
    <t>194</t>
  </si>
  <si>
    <t> 0.0020 </t>
  </si>
  <si>
    <t>BAVM 238 </t>
  </si>
  <si>
    <t>Lin. Ephemeris =</t>
  </si>
  <si>
    <t>Quad. Ephemeris =</t>
  </si>
  <si>
    <t>Add cycle</t>
  </si>
  <si>
    <t>Old Cycle</t>
  </si>
  <si>
    <t>BAD?</t>
  </si>
  <si>
    <t>JAVSO..48..256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</si>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</sst>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_);\(&quot;$&quot;#,##0\)"/>
    <numFmt numFmtId="165" formatCode="0.E+00"/>
    <numFmt numFmtId="166" formatCode="0.0%"/>
    <numFmt numFmtId="167" formatCode="0.0000"/>
    <numFmt numFmtId="168" formatCode="0.00000"/>
  </numFmts>
  <fonts count="2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indexed="20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26" fillId="0" borderId="2" applyNumberFormat="0" applyFont="0" applyFill="0" applyAlignment="0" applyProtection="0"/>
  </cellStyleXfs>
  <cellXfs count="11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8" fillId="0" borderId="0" xfId="0" applyFont="1" applyAlignment="1"/>
    <xf numFmtId="0" fontId="5" fillId="0" borderId="6" xfId="0" applyFont="1" applyBorder="1" applyAlignment="1">
      <alignment horizontal="lef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15" fillId="0" borderId="0" xfId="0" applyFont="1">
      <alignment vertical="top"/>
    </xf>
    <xf numFmtId="0" fontId="12" fillId="0" borderId="0" xfId="0" applyFont="1" applyAlignment="1">
      <alignment horizontal="left"/>
    </xf>
    <xf numFmtId="11" fontId="0" fillId="0" borderId="0" xfId="0" applyNumberFormat="1" applyAlignment="1"/>
    <xf numFmtId="0" fontId="0" fillId="0" borderId="7" xfId="0" applyBorder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6" fillId="0" borderId="0" xfId="0" applyFont="1">
      <alignment vertical="top"/>
    </xf>
    <xf numFmtId="0" fontId="18" fillId="0" borderId="0" xfId="0" applyFont="1">
      <alignment vertical="top"/>
    </xf>
    <xf numFmtId="0" fontId="6" fillId="0" borderId="0" xfId="0" applyFont="1" applyAlignment="1">
      <alignment horizontal="center"/>
    </xf>
    <xf numFmtId="0" fontId="6" fillId="0" borderId="10" xfId="0" applyFont="1" applyBorder="1">
      <alignment vertical="top"/>
    </xf>
    <xf numFmtId="0" fontId="19" fillId="0" borderId="11" xfId="0" applyFont="1" applyBorder="1">
      <alignment vertical="top"/>
    </xf>
    <xf numFmtId="0" fontId="8" fillId="0" borderId="7" xfId="0" applyFont="1" applyBorder="1">
      <alignment vertical="top"/>
    </xf>
    <xf numFmtId="165" fontId="8" fillId="0" borderId="7" xfId="0" applyNumberFormat="1" applyFont="1" applyBorder="1" applyAlignment="1">
      <alignment horizontal="center"/>
    </xf>
    <xf numFmtId="166" fontId="6" fillId="0" borderId="0" xfId="0" applyNumberFormat="1" applyFont="1">
      <alignment vertical="top"/>
    </xf>
    <xf numFmtId="14" fontId="0" fillId="0" borderId="0" xfId="0" applyNumberFormat="1">
      <alignment vertical="top"/>
    </xf>
    <xf numFmtId="0" fontId="6" fillId="0" borderId="12" xfId="0" applyFont="1" applyBorder="1">
      <alignment vertical="top"/>
    </xf>
    <xf numFmtId="0" fontId="19" fillId="0" borderId="13" xfId="0" applyFont="1" applyBorder="1">
      <alignment vertical="top"/>
    </xf>
    <xf numFmtId="0" fontId="8" fillId="0" borderId="8" xfId="0" applyFont="1" applyBorder="1">
      <alignment vertical="top"/>
    </xf>
    <xf numFmtId="165" fontId="8" fillId="0" borderId="8" xfId="0" applyNumberFormat="1" applyFont="1" applyBorder="1" applyAlignment="1">
      <alignment horizontal="center"/>
    </xf>
    <xf numFmtId="0" fontId="6" fillId="0" borderId="14" xfId="0" applyFont="1" applyBorder="1">
      <alignment vertical="top"/>
    </xf>
    <xf numFmtId="0" fontId="19" fillId="0" borderId="15" xfId="0" applyFont="1" applyBorder="1">
      <alignment vertical="top"/>
    </xf>
    <xf numFmtId="0" fontId="8" fillId="0" borderId="9" xfId="0" applyFont="1" applyBorder="1">
      <alignment vertical="top"/>
    </xf>
    <xf numFmtId="165" fontId="8" fillId="0" borderId="9" xfId="0" applyNumberFormat="1" applyFont="1" applyBorder="1" applyAlignment="1">
      <alignment horizontal="center"/>
    </xf>
    <xf numFmtId="0" fontId="18" fillId="0" borderId="5" xfId="0" applyFont="1" applyBorder="1">
      <alignment vertical="top"/>
    </xf>
    <xf numFmtId="0" fontId="0" fillId="0" borderId="5" xfId="0" applyBorder="1">
      <alignment vertical="top"/>
    </xf>
    <xf numFmtId="0" fontId="19" fillId="0" borderId="0" xfId="0" applyFont="1">
      <alignment vertical="top"/>
    </xf>
    <xf numFmtId="165" fontId="8" fillId="0" borderId="0" xfId="0" applyNumberFormat="1" applyFont="1" applyAlignment="1">
      <alignment horizontal="center"/>
    </xf>
    <xf numFmtId="0" fontId="12" fillId="0" borderId="0" xfId="0" applyFont="1" applyProtection="1">
      <alignment vertical="top"/>
      <protection locked="0"/>
    </xf>
    <xf numFmtId="0" fontId="12" fillId="0" borderId="0" xfId="0" applyFont="1" applyAlignment="1">
      <alignment horizontal="center"/>
    </xf>
    <xf numFmtId="0" fontId="20" fillId="0" borderId="0" xfId="0" applyFont="1">
      <alignment vertical="top"/>
    </xf>
    <xf numFmtId="0" fontId="21" fillId="0" borderId="0" xfId="0" applyFont="1" applyAlignment="1">
      <alignment horizontal="center"/>
    </xf>
    <xf numFmtId="0" fontId="13" fillId="0" borderId="0" xfId="0" applyFont="1">
      <alignment vertical="top"/>
    </xf>
    <xf numFmtId="0" fontId="11" fillId="0" borderId="5" xfId="0" applyFont="1" applyBorder="1" applyAlignment="1">
      <alignment horizontal="center"/>
    </xf>
    <xf numFmtId="0" fontId="12" fillId="2" borderId="1" xfId="0" applyFont="1" applyFill="1" applyBorder="1">
      <alignment vertical="top"/>
    </xf>
    <xf numFmtId="0" fontId="8" fillId="0" borderId="16" xfId="0" applyFont="1" applyBorder="1">
      <alignment vertical="top"/>
    </xf>
    <xf numFmtId="0" fontId="6" fillId="0" borderId="1" xfId="0" applyFont="1" applyBorder="1">
      <alignment vertical="top"/>
    </xf>
    <xf numFmtId="0" fontId="0" fillId="0" borderId="1" xfId="0" applyBorder="1">
      <alignment vertical="top"/>
    </xf>
    <xf numFmtId="167" fontId="0" fillId="0" borderId="0" xfId="0" applyNumberFormat="1">
      <alignment vertical="top"/>
    </xf>
    <xf numFmtId="10" fontId="6" fillId="0" borderId="0" xfId="0" applyNumberFormat="1" applyFont="1">
      <alignment vertical="top"/>
    </xf>
    <xf numFmtId="0" fontId="22" fillId="0" borderId="0" xfId="0" applyFont="1">
      <alignment vertical="top"/>
    </xf>
    <xf numFmtId="166" fontId="22" fillId="0" borderId="0" xfId="0" applyNumberFormat="1" applyFont="1">
      <alignment vertical="top"/>
    </xf>
    <xf numFmtId="10" fontId="22" fillId="0" borderId="0" xfId="0" applyNumberFormat="1" applyFont="1">
      <alignment vertical="top"/>
    </xf>
    <xf numFmtId="0" fontId="8" fillId="0" borderId="0" xfId="0" applyFont="1" applyAlignment="1">
      <alignment horizontal="left"/>
    </xf>
    <xf numFmtId="0" fontId="23" fillId="0" borderId="14" xfId="0" applyFont="1" applyBorder="1" applyAlignment="1">
      <alignment horizontal="left"/>
    </xf>
    <xf numFmtId="0" fontId="23" fillId="0" borderId="15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24" fillId="0" borderId="0" xfId="0" applyFont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25" fillId="0" borderId="0" xfId="7" applyAlignment="1" applyProtection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0" fillId="0" borderId="0" xfId="0" quotePrefix="1">
      <alignment vertical="top"/>
    </xf>
    <xf numFmtId="0" fontId="5" fillId="3" borderId="19" xfId="0" applyFont="1" applyFill="1" applyBorder="1" applyAlignment="1">
      <alignment horizontal="left" vertical="top" wrapText="1" indent="1"/>
    </xf>
    <xf numFmtId="0" fontId="5" fillId="3" borderId="19" xfId="0" applyFont="1" applyFill="1" applyBorder="1" applyAlignment="1">
      <alignment horizontal="center" vertical="top" wrapText="1"/>
    </xf>
    <xf numFmtId="0" fontId="5" fillId="3" borderId="19" xfId="0" applyFont="1" applyFill="1" applyBorder="1" applyAlignment="1">
      <alignment horizontal="right" vertical="top" wrapText="1"/>
    </xf>
    <xf numFmtId="0" fontId="25" fillId="3" borderId="19" xfId="7" applyFill="1" applyBorder="1" applyAlignment="1" applyProtection="1">
      <alignment horizontal="right" vertical="top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center" vertical="top"/>
    </xf>
    <xf numFmtId="0" fontId="20" fillId="0" borderId="5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horizontal="center" wrapText="1"/>
    </xf>
    <xf numFmtId="0" fontId="14" fillId="0" borderId="0" xfId="8" applyFont="1"/>
    <xf numFmtId="0" fontId="14" fillId="0" borderId="0" xfId="8" applyFont="1" applyAlignment="1">
      <alignment horizontal="center"/>
    </xf>
    <xf numFmtId="0" fontId="14" fillId="0" borderId="0" xfId="8" applyFont="1" applyAlignment="1">
      <alignment horizontal="left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168" fontId="27" fillId="0" borderId="0" xfId="0" applyNumberFormat="1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TU Cnc - O-C Diagr.</a:t>
            </a:r>
          </a:p>
        </c:rich>
      </c:tx>
      <c:layout>
        <c:manualLayout>
          <c:xMode val="edge"/>
          <c:yMode val="edge"/>
          <c:x val="0.37271249579659449"/>
          <c:y val="3.57142857142857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5885304997291"/>
          <c:y val="0.14285755806349418"/>
          <c:w val="0.80532511351938951"/>
          <c:h val="0.639882812159401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-3734</c:v>
                </c:pt>
                <c:pt idx="1">
                  <c:v>-2950</c:v>
                </c:pt>
                <c:pt idx="2">
                  <c:v>-2886</c:v>
                </c:pt>
                <c:pt idx="3">
                  <c:v>-2879</c:v>
                </c:pt>
                <c:pt idx="4">
                  <c:v>-2870</c:v>
                </c:pt>
                <c:pt idx="5">
                  <c:v>-2811</c:v>
                </c:pt>
                <c:pt idx="6">
                  <c:v>-2752</c:v>
                </c:pt>
                <c:pt idx="7">
                  <c:v>-2709</c:v>
                </c:pt>
                <c:pt idx="8">
                  <c:v>-2695</c:v>
                </c:pt>
                <c:pt idx="9">
                  <c:v>-2688</c:v>
                </c:pt>
                <c:pt idx="10">
                  <c:v>-2678</c:v>
                </c:pt>
                <c:pt idx="11">
                  <c:v>-2635</c:v>
                </c:pt>
                <c:pt idx="12">
                  <c:v>-2628</c:v>
                </c:pt>
                <c:pt idx="13">
                  <c:v>-2624</c:v>
                </c:pt>
                <c:pt idx="14">
                  <c:v>-2428</c:v>
                </c:pt>
                <c:pt idx="15">
                  <c:v>-2412</c:v>
                </c:pt>
                <c:pt idx="16">
                  <c:v>-2355</c:v>
                </c:pt>
                <c:pt idx="17">
                  <c:v>-2353</c:v>
                </c:pt>
                <c:pt idx="18">
                  <c:v>-2350</c:v>
                </c:pt>
                <c:pt idx="19">
                  <c:v>-2030</c:v>
                </c:pt>
                <c:pt idx="20">
                  <c:v>-1888</c:v>
                </c:pt>
                <c:pt idx="21">
                  <c:v>-1779</c:v>
                </c:pt>
                <c:pt idx="22">
                  <c:v>-1753</c:v>
                </c:pt>
                <c:pt idx="23">
                  <c:v>-1710</c:v>
                </c:pt>
                <c:pt idx="24">
                  <c:v>-1687</c:v>
                </c:pt>
                <c:pt idx="25">
                  <c:v>-1626</c:v>
                </c:pt>
                <c:pt idx="26">
                  <c:v>-1583</c:v>
                </c:pt>
                <c:pt idx="27">
                  <c:v>-1094</c:v>
                </c:pt>
                <c:pt idx="28">
                  <c:v>-18</c:v>
                </c:pt>
                <c:pt idx="29">
                  <c:v>19</c:v>
                </c:pt>
                <c:pt idx="30">
                  <c:v>62</c:v>
                </c:pt>
                <c:pt idx="31">
                  <c:v>76</c:v>
                </c:pt>
                <c:pt idx="32">
                  <c:v>76</c:v>
                </c:pt>
                <c:pt idx="33">
                  <c:v>137</c:v>
                </c:pt>
                <c:pt idx="34">
                  <c:v>140</c:v>
                </c:pt>
                <c:pt idx="35">
                  <c:v>142</c:v>
                </c:pt>
                <c:pt idx="36">
                  <c:v>209</c:v>
                </c:pt>
                <c:pt idx="37">
                  <c:v>270</c:v>
                </c:pt>
                <c:pt idx="38">
                  <c:v>482</c:v>
                </c:pt>
                <c:pt idx="39">
                  <c:v>539</c:v>
                </c:pt>
                <c:pt idx="40">
                  <c:v>584</c:v>
                </c:pt>
                <c:pt idx="41">
                  <c:v>655</c:v>
                </c:pt>
                <c:pt idx="42">
                  <c:v>844</c:v>
                </c:pt>
                <c:pt idx="43">
                  <c:v>865</c:v>
                </c:pt>
                <c:pt idx="44">
                  <c:v>997</c:v>
                </c:pt>
                <c:pt idx="45">
                  <c:v>1122</c:v>
                </c:pt>
                <c:pt idx="46">
                  <c:v>1134</c:v>
                </c:pt>
                <c:pt idx="47">
                  <c:v>1134</c:v>
                </c:pt>
                <c:pt idx="48">
                  <c:v>1517</c:v>
                </c:pt>
                <c:pt idx="49">
                  <c:v>1517</c:v>
                </c:pt>
                <c:pt idx="50">
                  <c:v>137</c:v>
                </c:pt>
                <c:pt idx="51">
                  <c:v>1793</c:v>
                </c:pt>
                <c:pt idx="52">
                  <c:v>1909</c:v>
                </c:pt>
                <c:pt idx="53">
                  <c:v>1913</c:v>
                </c:pt>
                <c:pt idx="54">
                  <c:v>2048</c:v>
                </c:pt>
                <c:pt idx="55">
                  <c:v>2164</c:v>
                </c:pt>
                <c:pt idx="56">
                  <c:v>2185</c:v>
                </c:pt>
                <c:pt idx="57">
                  <c:v>2240</c:v>
                </c:pt>
                <c:pt idx="58">
                  <c:v>2298</c:v>
                </c:pt>
                <c:pt idx="59">
                  <c:v>2445</c:v>
                </c:pt>
                <c:pt idx="60">
                  <c:v>2639</c:v>
                </c:pt>
                <c:pt idx="61">
                  <c:v>3040</c:v>
                </c:pt>
                <c:pt idx="62">
                  <c:v>3097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50">
                  <c:v>-9.1870000032940879E-3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FD-46B4-BB6A-A1A52391CCE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0">
                    <c:v>0</c:v>
                  </c:pt>
                  <c:pt idx="36">
                    <c:v>0</c:v>
                  </c:pt>
                  <c:pt idx="46">
                    <c:v>1.0999999999999999E-2</c:v>
                  </c:pt>
                  <c:pt idx="48">
                    <c:v>6.0000000000000001E-3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7.0000000000000001E-3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2.0999999999999999E-3</c:v>
                  </c:pt>
                  <c:pt idx="60">
                    <c:v>1.06E-2</c:v>
                  </c:pt>
                  <c:pt idx="61">
                    <c:v>8.0000000000000004E-4</c:v>
                  </c:pt>
                  <c:pt idx="62">
                    <c:v>2.5000000000000001E-3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0">
                    <c:v>0</c:v>
                  </c:pt>
                  <c:pt idx="36">
                    <c:v>0</c:v>
                  </c:pt>
                  <c:pt idx="46">
                    <c:v>1.0999999999999999E-2</c:v>
                  </c:pt>
                  <c:pt idx="48">
                    <c:v>6.0000000000000001E-3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7.0000000000000001E-3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2.0999999999999999E-3</c:v>
                  </c:pt>
                  <c:pt idx="60">
                    <c:v>1.06E-2</c:v>
                  </c:pt>
                  <c:pt idx="61">
                    <c:v>8.0000000000000004E-4</c:v>
                  </c:pt>
                  <c:pt idx="62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-3734</c:v>
                </c:pt>
                <c:pt idx="1">
                  <c:v>-2950</c:v>
                </c:pt>
                <c:pt idx="2">
                  <c:v>-2886</c:v>
                </c:pt>
                <c:pt idx="3">
                  <c:v>-2879</c:v>
                </c:pt>
                <c:pt idx="4">
                  <c:v>-2870</c:v>
                </c:pt>
                <c:pt idx="5">
                  <c:v>-2811</c:v>
                </c:pt>
                <c:pt idx="6">
                  <c:v>-2752</c:v>
                </c:pt>
                <c:pt idx="7">
                  <c:v>-2709</c:v>
                </c:pt>
                <c:pt idx="8">
                  <c:v>-2695</c:v>
                </c:pt>
                <c:pt idx="9">
                  <c:v>-2688</c:v>
                </c:pt>
                <c:pt idx="10">
                  <c:v>-2678</c:v>
                </c:pt>
                <c:pt idx="11">
                  <c:v>-2635</c:v>
                </c:pt>
                <c:pt idx="12">
                  <c:v>-2628</c:v>
                </c:pt>
                <c:pt idx="13">
                  <c:v>-2624</c:v>
                </c:pt>
                <c:pt idx="14">
                  <c:v>-2428</c:v>
                </c:pt>
                <c:pt idx="15">
                  <c:v>-2412</c:v>
                </c:pt>
                <c:pt idx="16">
                  <c:v>-2355</c:v>
                </c:pt>
                <c:pt idx="17">
                  <c:v>-2353</c:v>
                </c:pt>
                <c:pt idx="18">
                  <c:v>-2350</c:v>
                </c:pt>
                <c:pt idx="19">
                  <c:v>-2030</c:v>
                </c:pt>
                <c:pt idx="20">
                  <c:v>-1888</c:v>
                </c:pt>
                <c:pt idx="21">
                  <c:v>-1779</c:v>
                </c:pt>
                <c:pt idx="22">
                  <c:v>-1753</c:v>
                </c:pt>
                <c:pt idx="23">
                  <c:v>-1710</c:v>
                </c:pt>
                <c:pt idx="24">
                  <c:v>-1687</c:v>
                </c:pt>
                <c:pt idx="25">
                  <c:v>-1626</c:v>
                </c:pt>
                <c:pt idx="26">
                  <c:v>-1583</c:v>
                </c:pt>
                <c:pt idx="27">
                  <c:v>-1094</c:v>
                </c:pt>
                <c:pt idx="28">
                  <c:v>-18</c:v>
                </c:pt>
                <c:pt idx="29">
                  <c:v>19</c:v>
                </c:pt>
                <c:pt idx="30">
                  <c:v>62</c:v>
                </c:pt>
                <c:pt idx="31">
                  <c:v>76</c:v>
                </c:pt>
                <c:pt idx="32">
                  <c:v>76</c:v>
                </c:pt>
                <c:pt idx="33">
                  <c:v>137</c:v>
                </c:pt>
                <c:pt idx="34">
                  <c:v>140</c:v>
                </c:pt>
                <c:pt idx="35">
                  <c:v>142</c:v>
                </c:pt>
                <c:pt idx="36">
                  <c:v>209</c:v>
                </c:pt>
                <c:pt idx="37">
                  <c:v>270</c:v>
                </c:pt>
                <c:pt idx="38">
                  <c:v>482</c:v>
                </c:pt>
                <c:pt idx="39">
                  <c:v>539</c:v>
                </c:pt>
                <c:pt idx="40">
                  <c:v>584</c:v>
                </c:pt>
                <c:pt idx="41">
                  <c:v>655</c:v>
                </c:pt>
                <c:pt idx="42">
                  <c:v>844</c:v>
                </c:pt>
                <c:pt idx="43">
                  <c:v>865</c:v>
                </c:pt>
                <c:pt idx="44">
                  <c:v>997</c:v>
                </c:pt>
                <c:pt idx="45">
                  <c:v>1122</c:v>
                </c:pt>
                <c:pt idx="46">
                  <c:v>1134</c:v>
                </c:pt>
                <c:pt idx="47">
                  <c:v>1134</c:v>
                </c:pt>
                <c:pt idx="48">
                  <c:v>1517</c:v>
                </c:pt>
                <c:pt idx="49">
                  <c:v>1517</c:v>
                </c:pt>
                <c:pt idx="50">
                  <c:v>137</c:v>
                </c:pt>
                <c:pt idx="51">
                  <c:v>1793</c:v>
                </c:pt>
                <c:pt idx="52">
                  <c:v>1909</c:v>
                </c:pt>
                <c:pt idx="53">
                  <c:v>1913</c:v>
                </c:pt>
                <c:pt idx="54">
                  <c:v>2048</c:v>
                </c:pt>
                <c:pt idx="55">
                  <c:v>2164</c:v>
                </c:pt>
                <c:pt idx="56">
                  <c:v>2185</c:v>
                </c:pt>
                <c:pt idx="57">
                  <c:v>2240</c:v>
                </c:pt>
                <c:pt idx="58">
                  <c:v>2298</c:v>
                </c:pt>
                <c:pt idx="59">
                  <c:v>2445</c:v>
                </c:pt>
                <c:pt idx="60">
                  <c:v>2639</c:v>
                </c:pt>
                <c:pt idx="61">
                  <c:v>3040</c:v>
                </c:pt>
                <c:pt idx="62">
                  <c:v>3097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0">
                  <c:v>-7.636600000114413E-2</c:v>
                </c:pt>
                <c:pt idx="1">
                  <c:v>-7.7950000002601882E-2</c:v>
                </c:pt>
                <c:pt idx="4">
                  <c:v>-1.7030000002705492E-2</c:v>
                </c:pt>
                <c:pt idx="5">
                  <c:v>-5.5639000001974637E-2</c:v>
                </c:pt>
                <c:pt idx="9">
                  <c:v>-4.8112000000401167E-2</c:v>
                </c:pt>
                <c:pt idx="12">
                  <c:v>8.8279999981750734E-3</c:v>
                </c:pt>
                <c:pt idx="13">
                  <c:v>-8.297600000150851E-2</c:v>
                </c:pt>
                <c:pt idx="14">
                  <c:v>-1.6372000001865672E-2</c:v>
                </c:pt>
                <c:pt idx="15">
                  <c:v>-2.5880000030156225E-3</c:v>
                </c:pt>
                <c:pt idx="16">
                  <c:v>-9.2949999998381827E-3</c:v>
                </c:pt>
                <c:pt idx="17">
                  <c:v>-2.197000001615379E-3</c:v>
                </c:pt>
                <c:pt idx="18">
                  <c:v>-8.5500000022875611E-3</c:v>
                </c:pt>
                <c:pt idx="19">
                  <c:v>2.1300000007613562E-3</c:v>
                </c:pt>
                <c:pt idx="20">
                  <c:v>2.7087999995274004E-2</c:v>
                </c:pt>
                <c:pt idx="21">
                  <c:v>3.9289999986067414E-3</c:v>
                </c:pt>
                <c:pt idx="22">
                  <c:v>4.4202999997651204E-2</c:v>
                </c:pt>
                <c:pt idx="23">
                  <c:v>1.780999999755295E-2</c:v>
                </c:pt>
                <c:pt idx="24">
                  <c:v>1.3437000001431443E-2</c:v>
                </c:pt>
                <c:pt idx="25">
                  <c:v>-7.3999995947815478E-5</c:v>
                </c:pt>
                <c:pt idx="26">
                  <c:v>2.1532999999180902E-2</c:v>
                </c:pt>
                <c:pt idx="27">
                  <c:v>7.9939999995986E-3</c:v>
                </c:pt>
                <c:pt idx="28">
                  <c:v>2.1718000003602356E-2</c:v>
                </c:pt>
                <c:pt idx="29">
                  <c:v>3.1000003218650818E-5</c:v>
                </c:pt>
                <c:pt idx="30">
                  <c:v>-2.7362000000721309E-2</c:v>
                </c:pt>
                <c:pt idx="31">
                  <c:v>6.3240000017685816E-3</c:v>
                </c:pt>
                <c:pt idx="32">
                  <c:v>3.6324000000604428E-2</c:v>
                </c:pt>
                <c:pt idx="33">
                  <c:v>-9.1870000032940879E-3</c:v>
                </c:pt>
                <c:pt idx="34">
                  <c:v>-5.5399999982910231E-3</c:v>
                </c:pt>
                <c:pt idx="35">
                  <c:v>-6.4420000053360127E-3</c:v>
                </c:pt>
                <c:pt idx="36">
                  <c:v>1.0341000001062639E-2</c:v>
                </c:pt>
                <c:pt idx="37">
                  <c:v>9.8300000026938505E-3</c:v>
                </c:pt>
                <c:pt idx="38">
                  <c:v>-1.2781999997969251E-2</c:v>
                </c:pt>
                <c:pt idx="39">
                  <c:v>-1.1488999996799976E-2</c:v>
                </c:pt>
                <c:pt idx="40">
                  <c:v>-2.0784000000276137E-2</c:v>
                </c:pt>
                <c:pt idx="41">
                  <c:v>-2.7804999997897539E-2</c:v>
                </c:pt>
                <c:pt idx="42">
                  <c:v>-1.8044000004010741E-2</c:v>
                </c:pt>
                <c:pt idx="43">
                  <c:v>-2.6515000005019829E-2</c:v>
                </c:pt>
                <c:pt idx="44">
                  <c:v>-7.2047000001475681E-2</c:v>
                </c:pt>
                <c:pt idx="46">
                  <c:v>-7.4833999999100342E-2</c:v>
                </c:pt>
                <c:pt idx="47">
                  <c:v>-6.4833999997063074E-2</c:v>
                </c:pt>
                <c:pt idx="48">
                  <c:v>-6.8566999994800426E-2</c:v>
                </c:pt>
                <c:pt idx="49">
                  <c:v>-5.756699999619741E-2</c:v>
                </c:pt>
                <c:pt idx="51">
                  <c:v>-7.6043000008212402E-2</c:v>
                </c:pt>
                <c:pt idx="55">
                  <c:v>-7.2363999999652151E-2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7FD-46B4-BB6A-A1A52391CCE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-3734</c:v>
                </c:pt>
                <c:pt idx="1">
                  <c:v>-2950</c:v>
                </c:pt>
                <c:pt idx="2">
                  <c:v>-2886</c:v>
                </c:pt>
                <c:pt idx="3">
                  <c:v>-2879</c:v>
                </c:pt>
                <c:pt idx="4">
                  <c:v>-2870</c:v>
                </c:pt>
                <c:pt idx="5">
                  <c:v>-2811</c:v>
                </c:pt>
                <c:pt idx="6">
                  <c:v>-2752</c:v>
                </c:pt>
                <c:pt idx="7">
                  <c:v>-2709</c:v>
                </c:pt>
                <c:pt idx="8">
                  <c:v>-2695</c:v>
                </c:pt>
                <c:pt idx="9">
                  <c:v>-2688</c:v>
                </c:pt>
                <c:pt idx="10">
                  <c:v>-2678</c:v>
                </c:pt>
                <c:pt idx="11">
                  <c:v>-2635</c:v>
                </c:pt>
                <c:pt idx="12">
                  <c:v>-2628</c:v>
                </c:pt>
                <c:pt idx="13">
                  <c:v>-2624</c:v>
                </c:pt>
                <c:pt idx="14">
                  <c:v>-2428</c:v>
                </c:pt>
                <c:pt idx="15">
                  <c:v>-2412</c:v>
                </c:pt>
                <c:pt idx="16">
                  <c:v>-2355</c:v>
                </c:pt>
                <c:pt idx="17">
                  <c:v>-2353</c:v>
                </c:pt>
                <c:pt idx="18">
                  <c:v>-2350</c:v>
                </c:pt>
                <c:pt idx="19">
                  <c:v>-2030</c:v>
                </c:pt>
                <c:pt idx="20">
                  <c:v>-1888</c:v>
                </c:pt>
                <c:pt idx="21">
                  <c:v>-1779</c:v>
                </c:pt>
                <c:pt idx="22">
                  <c:v>-1753</c:v>
                </c:pt>
                <c:pt idx="23">
                  <c:v>-1710</c:v>
                </c:pt>
                <c:pt idx="24">
                  <c:v>-1687</c:v>
                </c:pt>
                <c:pt idx="25">
                  <c:v>-1626</c:v>
                </c:pt>
                <c:pt idx="26">
                  <c:v>-1583</c:v>
                </c:pt>
                <c:pt idx="27">
                  <c:v>-1094</c:v>
                </c:pt>
                <c:pt idx="28">
                  <c:v>-18</c:v>
                </c:pt>
                <c:pt idx="29">
                  <c:v>19</c:v>
                </c:pt>
                <c:pt idx="30">
                  <c:v>62</c:v>
                </c:pt>
                <c:pt idx="31">
                  <c:v>76</c:v>
                </c:pt>
                <c:pt idx="32">
                  <c:v>76</c:v>
                </c:pt>
                <c:pt idx="33">
                  <c:v>137</c:v>
                </c:pt>
                <c:pt idx="34">
                  <c:v>140</c:v>
                </c:pt>
                <c:pt idx="35">
                  <c:v>142</c:v>
                </c:pt>
                <c:pt idx="36">
                  <c:v>209</c:v>
                </c:pt>
                <c:pt idx="37">
                  <c:v>270</c:v>
                </c:pt>
                <c:pt idx="38">
                  <c:v>482</c:v>
                </c:pt>
                <c:pt idx="39">
                  <c:v>539</c:v>
                </c:pt>
                <c:pt idx="40">
                  <c:v>584</c:v>
                </c:pt>
                <c:pt idx="41">
                  <c:v>655</c:v>
                </c:pt>
                <c:pt idx="42">
                  <c:v>844</c:v>
                </c:pt>
                <c:pt idx="43">
                  <c:v>865</c:v>
                </c:pt>
                <c:pt idx="44">
                  <c:v>997</c:v>
                </c:pt>
                <c:pt idx="45">
                  <c:v>1122</c:v>
                </c:pt>
                <c:pt idx="46">
                  <c:v>1134</c:v>
                </c:pt>
                <c:pt idx="47">
                  <c:v>1134</c:v>
                </c:pt>
                <c:pt idx="48">
                  <c:v>1517</c:v>
                </c:pt>
                <c:pt idx="49">
                  <c:v>1517</c:v>
                </c:pt>
                <c:pt idx="50">
                  <c:v>137</c:v>
                </c:pt>
                <c:pt idx="51">
                  <c:v>1793</c:v>
                </c:pt>
                <c:pt idx="52">
                  <c:v>1909</c:v>
                </c:pt>
                <c:pt idx="53">
                  <c:v>1913</c:v>
                </c:pt>
                <c:pt idx="54">
                  <c:v>2048</c:v>
                </c:pt>
                <c:pt idx="55">
                  <c:v>2164</c:v>
                </c:pt>
                <c:pt idx="56">
                  <c:v>2185</c:v>
                </c:pt>
                <c:pt idx="57">
                  <c:v>2240</c:v>
                </c:pt>
                <c:pt idx="58">
                  <c:v>2298</c:v>
                </c:pt>
                <c:pt idx="59">
                  <c:v>2445</c:v>
                </c:pt>
                <c:pt idx="60">
                  <c:v>2639</c:v>
                </c:pt>
                <c:pt idx="61">
                  <c:v>3040</c:v>
                </c:pt>
                <c:pt idx="62">
                  <c:v>3097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52">
                  <c:v>-7.0358999997552019E-2</c:v>
                </c:pt>
                <c:pt idx="56">
                  <c:v>-6.903500000044005E-2</c:v>
                </c:pt>
                <c:pt idx="57">
                  <c:v>-6.8840000007185154E-2</c:v>
                </c:pt>
                <c:pt idx="58">
                  <c:v>-6.7797999996400904E-2</c:v>
                </c:pt>
                <c:pt idx="59">
                  <c:v>-6.2395000000833534E-2</c:v>
                </c:pt>
                <c:pt idx="60">
                  <c:v>-5.4888999999093357E-2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7FD-46B4-BB6A-A1A52391CCE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0">
                    <c:v>0</c:v>
                  </c:pt>
                  <c:pt idx="36">
                    <c:v>0</c:v>
                  </c:pt>
                  <c:pt idx="46">
                    <c:v>1.0999999999999999E-2</c:v>
                  </c:pt>
                  <c:pt idx="48">
                    <c:v>6.0000000000000001E-3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7.0000000000000001E-3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2.0999999999999999E-3</c:v>
                  </c:pt>
                  <c:pt idx="60">
                    <c:v>1.06E-2</c:v>
                  </c:pt>
                  <c:pt idx="61">
                    <c:v>8.0000000000000004E-4</c:v>
                  </c:pt>
                  <c:pt idx="62">
                    <c:v>2.5000000000000001E-3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0">
                    <c:v>0</c:v>
                  </c:pt>
                  <c:pt idx="36">
                    <c:v>0</c:v>
                  </c:pt>
                  <c:pt idx="46">
                    <c:v>1.0999999999999999E-2</c:v>
                  </c:pt>
                  <c:pt idx="48">
                    <c:v>6.0000000000000001E-3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7.0000000000000001E-3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2.0999999999999999E-3</c:v>
                  </c:pt>
                  <c:pt idx="60">
                    <c:v>1.06E-2</c:v>
                  </c:pt>
                  <c:pt idx="61">
                    <c:v>8.0000000000000004E-4</c:v>
                  </c:pt>
                  <c:pt idx="62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-3734</c:v>
                </c:pt>
                <c:pt idx="1">
                  <c:v>-2950</c:v>
                </c:pt>
                <c:pt idx="2">
                  <c:v>-2886</c:v>
                </c:pt>
                <c:pt idx="3">
                  <c:v>-2879</c:v>
                </c:pt>
                <c:pt idx="4">
                  <c:v>-2870</c:v>
                </c:pt>
                <c:pt idx="5">
                  <c:v>-2811</c:v>
                </c:pt>
                <c:pt idx="6">
                  <c:v>-2752</c:v>
                </c:pt>
                <c:pt idx="7">
                  <c:v>-2709</c:v>
                </c:pt>
                <c:pt idx="8">
                  <c:v>-2695</c:v>
                </c:pt>
                <c:pt idx="9">
                  <c:v>-2688</c:v>
                </c:pt>
                <c:pt idx="10">
                  <c:v>-2678</c:v>
                </c:pt>
                <c:pt idx="11">
                  <c:v>-2635</c:v>
                </c:pt>
                <c:pt idx="12">
                  <c:v>-2628</c:v>
                </c:pt>
                <c:pt idx="13">
                  <c:v>-2624</c:v>
                </c:pt>
                <c:pt idx="14">
                  <c:v>-2428</c:v>
                </c:pt>
                <c:pt idx="15">
                  <c:v>-2412</c:v>
                </c:pt>
                <c:pt idx="16">
                  <c:v>-2355</c:v>
                </c:pt>
                <c:pt idx="17">
                  <c:v>-2353</c:v>
                </c:pt>
                <c:pt idx="18">
                  <c:v>-2350</c:v>
                </c:pt>
                <c:pt idx="19">
                  <c:v>-2030</c:v>
                </c:pt>
                <c:pt idx="20">
                  <c:v>-1888</c:v>
                </c:pt>
                <c:pt idx="21">
                  <c:v>-1779</c:v>
                </c:pt>
                <c:pt idx="22">
                  <c:v>-1753</c:v>
                </c:pt>
                <c:pt idx="23">
                  <c:v>-1710</c:v>
                </c:pt>
                <c:pt idx="24">
                  <c:v>-1687</c:v>
                </c:pt>
                <c:pt idx="25">
                  <c:v>-1626</c:v>
                </c:pt>
                <c:pt idx="26">
                  <c:v>-1583</c:v>
                </c:pt>
                <c:pt idx="27">
                  <c:v>-1094</c:v>
                </c:pt>
                <c:pt idx="28">
                  <c:v>-18</c:v>
                </c:pt>
                <c:pt idx="29">
                  <c:v>19</c:v>
                </c:pt>
                <c:pt idx="30">
                  <c:v>62</c:v>
                </c:pt>
                <c:pt idx="31">
                  <c:v>76</c:v>
                </c:pt>
                <c:pt idx="32">
                  <c:v>76</c:v>
                </c:pt>
                <c:pt idx="33">
                  <c:v>137</c:v>
                </c:pt>
                <c:pt idx="34">
                  <c:v>140</c:v>
                </c:pt>
                <c:pt idx="35">
                  <c:v>142</c:v>
                </c:pt>
                <c:pt idx="36">
                  <c:v>209</c:v>
                </c:pt>
                <c:pt idx="37">
                  <c:v>270</c:v>
                </c:pt>
                <c:pt idx="38">
                  <c:v>482</c:v>
                </c:pt>
                <c:pt idx="39">
                  <c:v>539</c:v>
                </c:pt>
                <c:pt idx="40">
                  <c:v>584</c:v>
                </c:pt>
                <c:pt idx="41">
                  <c:v>655</c:v>
                </c:pt>
                <c:pt idx="42">
                  <c:v>844</c:v>
                </c:pt>
                <c:pt idx="43">
                  <c:v>865</c:v>
                </c:pt>
                <c:pt idx="44">
                  <c:v>997</c:v>
                </c:pt>
                <c:pt idx="45">
                  <c:v>1122</c:v>
                </c:pt>
                <c:pt idx="46">
                  <c:v>1134</c:v>
                </c:pt>
                <c:pt idx="47">
                  <c:v>1134</c:v>
                </c:pt>
                <c:pt idx="48">
                  <c:v>1517</c:v>
                </c:pt>
                <c:pt idx="49">
                  <c:v>1517</c:v>
                </c:pt>
                <c:pt idx="50">
                  <c:v>137</c:v>
                </c:pt>
                <c:pt idx="51">
                  <c:v>1793</c:v>
                </c:pt>
                <c:pt idx="52">
                  <c:v>1909</c:v>
                </c:pt>
                <c:pt idx="53">
                  <c:v>1913</c:v>
                </c:pt>
                <c:pt idx="54">
                  <c:v>2048</c:v>
                </c:pt>
                <c:pt idx="55">
                  <c:v>2164</c:v>
                </c:pt>
                <c:pt idx="56">
                  <c:v>2185</c:v>
                </c:pt>
                <c:pt idx="57">
                  <c:v>2240</c:v>
                </c:pt>
                <c:pt idx="58">
                  <c:v>2298</c:v>
                </c:pt>
                <c:pt idx="59">
                  <c:v>2445</c:v>
                </c:pt>
                <c:pt idx="60">
                  <c:v>2639</c:v>
                </c:pt>
                <c:pt idx="61">
                  <c:v>3040</c:v>
                </c:pt>
                <c:pt idx="62">
                  <c:v>3097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61">
                  <c:v>-1.8739999999525025E-2</c:v>
                </c:pt>
                <c:pt idx="62">
                  <c:v>-2.2747000002709683E-2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7FD-46B4-BB6A-A1A52391CCE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0">
                    <c:v>0</c:v>
                  </c:pt>
                  <c:pt idx="36">
                    <c:v>0</c:v>
                  </c:pt>
                  <c:pt idx="46">
                    <c:v>1.0999999999999999E-2</c:v>
                  </c:pt>
                  <c:pt idx="48">
                    <c:v>6.0000000000000001E-3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7.0000000000000001E-3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2.0999999999999999E-3</c:v>
                  </c:pt>
                  <c:pt idx="60">
                    <c:v>1.06E-2</c:v>
                  </c:pt>
                  <c:pt idx="61">
                    <c:v>8.0000000000000004E-4</c:v>
                  </c:pt>
                  <c:pt idx="62">
                    <c:v>2.5000000000000001E-3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0">
                    <c:v>0</c:v>
                  </c:pt>
                  <c:pt idx="36">
                    <c:v>0</c:v>
                  </c:pt>
                  <c:pt idx="46">
                    <c:v>1.0999999999999999E-2</c:v>
                  </c:pt>
                  <c:pt idx="48">
                    <c:v>6.0000000000000001E-3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7.0000000000000001E-3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2.0999999999999999E-3</c:v>
                  </c:pt>
                  <c:pt idx="60">
                    <c:v>1.06E-2</c:v>
                  </c:pt>
                  <c:pt idx="61">
                    <c:v>8.0000000000000004E-4</c:v>
                  </c:pt>
                  <c:pt idx="62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-3734</c:v>
                </c:pt>
                <c:pt idx="1">
                  <c:v>-2950</c:v>
                </c:pt>
                <c:pt idx="2">
                  <c:v>-2886</c:v>
                </c:pt>
                <c:pt idx="3">
                  <c:v>-2879</c:v>
                </c:pt>
                <c:pt idx="4">
                  <c:v>-2870</c:v>
                </c:pt>
                <c:pt idx="5">
                  <c:v>-2811</c:v>
                </c:pt>
                <c:pt idx="6">
                  <c:v>-2752</c:v>
                </c:pt>
                <c:pt idx="7">
                  <c:v>-2709</c:v>
                </c:pt>
                <c:pt idx="8">
                  <c:v>-2695</c:v>
                </c:pt>
                <c:pt idx="9">
                  <c:v>-2688</c:v>
                </c:pt>
                <c:pt idx="10">
                  <c:v>-2678</c:v>
                </c:pt>
                <c:pt idx="11">
                  <c:v>-2635</c:v>
                </c:pt>
                <c:pt idx="12">
                  <c:v>-2628</c:v>
                </c:pt>
                <c:pt idx="13">
                  <c:v>-2624</c:v>
                </c:pt>
                <c:pt idx="14">
                  <c:v>-2428</c:v>
                </c:pt>
                <c:pt idx="15">
                  <c:v>-2412</c:v>
                </c:pt>
                <c:pt idx="16">
                  <c:v>-2355</c:v>
                </c:pt>
                <c:pt idx="17">
                  <c:v>-2353</c:v>
                </c:pt>
                <c:pt idx="18">
                  <c:v>-2350</c:v>
                </c:pt>
                <c:pt idx="19">
                  <c:v>-2030</c:v>
                </c:pt>
                <c:pt idx="20">
                  <c:v>-1888</c:v>
                </c:pt>
                <c:pt idx="21">
                  <c:v>-1779</c:v>
                </c:pt>
                <c:pt idx="22">
                  <c:v>-1753</c:v>
                </c:pt>
                <c:pt idx="23">
                  <c:v>-1710</c:v>
                </c:pt>
                <c:pt idx="24">
                  <c:v>-1687</c:v>
                </c:pt>
                <c:pt idx="25">
                  <c:v>-1626</c:v>
                </c:pt>
                <c:pt idx="26">
                  <c:v>-1583</c:v>
                </c:pt>
                <c:pt idx="27">
                  <c:v>-1094</c:v>
                </c:pt>
                <c:pt idx="28">
                  <c:v>-18</c:v>
                </c:pt>
                <c:pt idx="29">
                  <c:v>19</c:v>
                </c:pt>
                <c:pt idx="30">
                  <c:v>62</c:v>
                </c:pt>
                <c:pt idx="31">
                  <c:v>76</c:v>
                </c:pt>
                <c:pt idx="32">
                  <c:v>76</c:v>
                </c:pt>
                <c:pt idx="33">
                  <c:v>137</c:v>
                </c:pt>
                <c:pt idx="34">
                  <c:v>140</c:v>
                </c:pt>
                <c:pt idx="35">
                  <c:v>142</c:v>
                </c:pt>
                <c:pt idx="36">
                  <c:v>209</c:v>
                </c:pt>
                <c:pt idx="37">
                  <c:v>270</c:v>
                </c:pt>
                <c:pt idx="38">
                  <c:v>482</c:v>
                </c:pt>
                <c:pt idx="39">
                  <c:v>539</c:v>
                </c:pt>
                <c:pt idx="40">
                  <c:v>584</c:v>
                </c:pt>
                <c:pt idx="41">
                  <c:v>655</c:v>
                </c:pt>
                <c:pt idx="42">
                  <c:v>844</c:v>
                </c:pt>
                <c:pt idx="43">
                  <c:v>865</c:v>
                </c:pt>
                <c:pt idx="44">
                  <c:v>997</c:v>
                </c:pt>
                <c:pt idx="45">
                  <c:v>1122</c:v>
                </c:pt>
                <c:pt idx="46">
                  <c:v>1134</c:v>
                </c:pt>
                <c:pt idx="47">
                  <c:v>1134</c:v>
                </c:pt>
                <c:pt idx="48">
                  <c:v>1517</c:v>
                </c:pt>
                <c:pt idx="49">
                  <c:v>1517</c:v>
                </c:pt>
                <c:pt idx="50">
                  <c:v>137</c:v>
                </c:pt>
                <c:pt idx="51">
                  <c:v>1793</c:v>
                </c:pt>
                <c:pt idx="52">
                  <c:v>1909</c:v>
                </c:pt>
                <c:pt idx="53">
                  <c:v>1913</c:v>
                </c:pt>
                <c:pt idx="54">
                  <c:v>2048</c:v>
                </c:pt>
                <c:pt idx="55">
                  <c:v>2164</c:v>
                </c:pt>
                <c:pt idx="56">
                  <c:v>2185</c:v>
                </c:pt>
                <c:pt idx="57">
                  <c:v>2240</c:v>
                </c:pt>
                <c:pt idx="58">
                  <c:v>2298</c:v>
                </c:pt>
                <c:pt idx="59">
                  <c:v>2445</c:v>
                </c:pt>
                <c:pt idx="60">
                  <c:v>2639</c:v>
                </c:pt>
                <c:pt idx="61">
                  <c:v>3040</c:v>
                </c:pt>
                <c:pt idx="62">
                  <c:v>3097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7FD-46B4-BB6A-A1A52391CCE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0">
                    <c:v>0</c:v>
                  </c:pt>
                  <c:pt idx="36">
                    <c:v>0</c:v>
                  </c:pt>
                  <c:pt idx="46">
                    <c:v>1.0999999999999999E-2</c:v>
                  </c:pt>
                  <c:pt idx="48">
                    <c:v>6.0000000000000001E-3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7.0000000000000001E-3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2.0999999999999999E-3</c:v>
                  </c:pt>
                  <c:pt idx="60">
                    <c:v>1.06E-2</c:v>
                  </c:pt>
                  <c:pt idx="61">
                    <c:v>8.0000000000000004E-4</c:v>
                  </c:pt>
                  <c:pt idx="62">
                    <c:v>2.5000000000000001E-3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0">
                    <c:v>0</c:v>
                  </c:pt>
                  <c:pt idx="36">
                    <c:v>0</c:v>
                  </c:pt>
                  <c:pt idx="46">
                    <c:v>1.0999999999999999E-2</c:v>
                  </c:pt>
                  <c:pt idx="48">
                    <c:v>6.0000000000000001E-3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7.0000000000000001E-3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2.0999999999999999E-3</c:v>
                  </c:pt>
                  <c:pt idx="60">
                    <c:v>1.06E-2</c:v>
                  </c:pt>
                  <c:pt idx="61">
                    <c:v>8.0000000000000004E-4</c:v>
                  </c:pt>
                  <c:pt idx="62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-3734</c:v>
                </c:pt>
                <c:pt idx="1">
                  <c:v>-2950</c:v>
                </c:pt>
                <c:pt idx="2">
                  <c:v>-2886</c:v>
                </c:pt>
                <c:pt idx="3">
                  <c:v>-2879</c:v>
                </c:pt>
                <c:pt idx="4">
                  <c:v>-2870</c:v>
                </c:pt>
                <c:pt idx="5">
                  <c:v>-2811</c:v>
                </c:pt>
                <c:pt idx="6">
                  <c:v>-2752</c:v>
                </c:pt>
                <c:pt idx="7">
                  <c:v>-2709</c:v>
                </c:pt>
                <c:pt idx="8">
                  <c:v>-2695</c:v>
                </c:pt>
                <c:pt idx="9">
                  <c:v>-2688</c:v>
                </c:pt>
                <c:pt idx="10">
                  <c:v>-2678</c:v>
                </c:pt>
                <c:pt idx="11">
                  <c:v>-2635</c:v>
                </c:pt>
                <c:pt idx="12">
                  <c:v>-2628</c:v>
                </c:pt>
                <c:pt idx="13">
                  <c:v>-2624</c:v>
                </c:pt>
                <c:pt idx="14">
                  <c:v>-2428</c:v>
                </c:pt>
                <c:pt idx="15">
                  <c:v>-2412</c:v>
                </c:pt>
                <c:pt idx="16">
                  <c:v>-2355</c:v>
                </c:pt>
                <c:pt idx="17">
                  <c:v>-2353</c:v>
                </c:pt>
                <c:pt idx="18">
                  <c:v>-2350</c:v>
                </c:pt>
                <c:pt idx="19">
                  <c:v>-2030</c:v>
                </c:pt>
                <c:pt idx="20">
                  <c:v>-1888</c:v>
                </c:pt>
                <c:pt idx="21">
                  <c:v>-1779</c:v>
                </c:pt>
                <c:pt idx="22">
                  <c:v>-1753</c:v>
                </c:pt>
                <c:pt idx="23">
                  <c:v>-1710</c:v>
                </c:pt>
                <c:pt idx="24">
                  <c:v>-1687</c:v>
                </c:pt>
                <c:pt idx="25">
                  <c:v>-1626</c:v>
                </c:pt>
                <c:pt idx="26">
                  <c:v>-1583</c:v>
                </c:pt>
                <c:pt idx="27">
                  <c:v>-1094</c:v>
                </c:pt>
                <c:pt idx="28">
                  <c:v>-18</c:v>
                </c:pt>
                <c:pt idx="29">
                  <c:v>19</c:v>
                </c:pt>
                <c:pt idx="30">
                  <c:v>62</c:v>
                </c:pt>
                <c:pt idx="31">
                  <c:v>76</c:v>
                </c:pt>
                <c:pt idx="32">
                  <c:v>76</c:v>
                </c:pt>
                <c:pt idx="33">
                  <c:v>137</c:v>
                </c:pt>
                <c:pt idx="34">
                  <c:v>140</c:v>
                </c:pt>
                <c:pt idx="35">
                  <c:v>142</c:v>
                </c:pt>
                <c:pt idx="36">
                  <c:v>209</c:v>
                </c:pt>
                <c:pt idx="37">
                  <c:v>270</c:v>
                </c:pt>
                <c:pt idx="38">
                  <c:v>482</c:v>
                </c:pt>
                <c:pt idx="39">
                  <c:v>539</c:v>
                </c:pt>
                <c:pt idx="40">
                  <c:v>584</c:v>
                </c:pt>
                <c:pt idx="41">
                  <c:v>655</c:v>
                </c:pt>
                <c:pt idx="42">
                  <c:v>844</c:v>
                </c:pt>
                <c:pt idx="43">
                  <c:v>865</c:v>
                </c:pt>
                <c:pt idx="44">
                  <c:v>997</c:v>
                </c:pt>
                <c:pt idx="45">
                  <c:v>1122</c:v>
                </c:pt>
                <c:pt idx="46">
                  <c:v>1134</c:v>
                </c:pt>
                <c:pt idx="47">
                  <c:v>1134</c:v>
                </c:pt>
                <c:pt idx="48">
                  <c:v>1517</c:v>
                </c:pt>
                <c:pt idx="49">
                  <c:v>1517</c:v>
                </c:pt>
                <c:pt idx="50">
                  <c:v>137</c:v>
                </c:pt>
                <c:pt idx="51">
                  <c:v>1793</c:v>
                </c:pt>
                <c:pt idx="52">
                  <c:v>1909</c:v>
                </c:pt>
                <c:pt idx="53">
                  <c:v>1913</c:v>
                </c:pt>
                <c:pt idx="54">
                  <c:v>2048</c:v>
                </c:pt>
                <c:pt idx="55">
                  <c:v>2164</c:v>
                </c:pt>
                <c:pt idx="56">
                  <c:v>2185</c:v>
                </c:pt>
                <c:pt idx="57">
                  <c:v>2240</c:v>
                </c:pt>
                <c:pt idx="58">
                  <c:v>2298</c:v>
                </c:pt>
                <c:pt idx="59">
                  <c:v>2445</c:v>
                </c:pt>
                <c:pt idx="60">
                  <c:v>2639</c:v>
                </c:pt>
                <c:pt idx="61">
                  <c:v>3040</c:v>
                </c:pt>
                <c:pt idx="62">
                  <c:v>3097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7FD-46B4-BB6A-A1A52391CCE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0">
                    <c:v>0</c:v>
                  </c:pt>
                  <c:pt idx="36">
                    <c:v>0</c:v>
                  </c:pt>
                  <c:pt idx="46">
                    <c:v>1.0999999999999999E-2</c:v>
                  </c:pt>
                  <c:pt idx="48">
                    <c:v>6.0000000000000001E-3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7.0000000000000001E-3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2.0999999999999999E-3</c:v>
                  </c:pt>
                  <c:pt idx="60">
                    <c:v>1.06E-2</c:v>
                  </c:pt>
                  <c:pt idx="61">
                    <c:v>8.0000000000000004E-4</c:v>
                  </c:pt>
                  <c:pt idx="62">
                    <c:v>2.5000000000000001E-3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0">
                    <c:v>0</c:v>
                  </c:pt>
                  <c:pt idx="36">
                    <c:v>0</c:v>
                  </c:pt>
                  <c:pt idx="46">
                    <c:v>1.0999999999999999E-2</c:v>
                  </c:pt>
                  <c:pt idx="48">
                    <c:v>6.0000000000000001E-3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7.0000000000000001E-3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2.0999999999999999E-3</c:v>
                  </c:pt>
                  <c:pt idx="60">
                    <c:v>1.06E-2</c:v>
                  </c:pt>
                  <c:pt idx="61">
                    <c:v>8.0000000000000004E-4</c:v>
                  </c:pt>
                  <c:pt idx="62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-3734</c:v>
                </c:pt>
                <c:pt idx="1">
                  <c:v>-2950</c:v>
                </c:pt>
                <c:pt idx="2">
                  <c:v>-2886</c:v>
                </c:pt>
                <c:pt idx="3">
                  <c:v>-2879</c:v>
                </c:pt>
                <c:pt idx="4">
                  <c:v>-2870</c:v>
                </c:pt>
                <c:pt idx="5">
                  <c:v>-2811</c:v>
                </c:pt>
                <c:pt idx="6">
                  <c:v>-2752</c:v>
                </c:pt>
                <c:pt idx="7">
                  <c:v>-2709</c:v>
                </c:pt>
                <c:pt idx="8">
                  <c:v>-2695</c:v>
                </c:pt>
                <c:pt idx="9">
                  <c:v>-2688</c:v>
                </c:pt>
                <c:pt idx="10">
                  <c:v>-2678</c:v>
                </c:pt>
                <c:pt idx="11">
                  <c:v>-2635</c:v>
                </c:pt>
                <c:pt idx="12">
                  <c:v>-2628</c:v>
                </c:pt>
                <c:pt idx="13">
                  <c:v>-2624</c:v>
                </c:pt>
                <c:pt idx="14">
                  <c:v>-2428</c:v>
                </c:pt>
                <c:pt idx="15">
                  <c:v>-2412</c:v>
                </c:pt>
                <c:pt idx="16">
                  <c:v>-2355</c:v>
                </c:pt>
                <c:pt idx="17">
                  <c:v>-2353</c:v>
                </c:pt>
                <c:pt idx="18">
                  <c:v>-2350</c:v>
                </c:pt>
                <c:pt idx="19">
                  <c:v>-2030</c:v>
                </c:pt>
                <c:pt idx="20">
                  <c:v>-1888</c:v>
                </c:pt>
                <c:pt idx="21">
                  <c:v>-1779</c:v>
                </c:pt>
                <c:pt idx="22">
                  <c:v>-1753</c:v>
                </c:pt>
                <c:pt idx="23">
                  <c:v>-1710</c:v>
                </c:pt>
                <c:pt idx="24">
                  <c:v>-1687</c:v>
                </c:pt>
                <c:pt idx="25">
                  <c:v>-1626</c:v>
                </c:pt>
                <c:pt idx="26">
                  <c:v>-1583</c:v>
                </c:pt>
                <c:pt idx="27">
                  <c:v>-1094</c:v>
                </c:pt>
                <c:pt idx="28">
                  <c:v>-18</c:v>
                </c:pt>
                <c:pt idx="29">
                  <c:v>19</c:v>
                </c:pt>
                <c:pt idx="30">
                  <c:v>62</c:v>
                </c:pt>
                <c:pt idx="31">
                  <c:v>76</c:v>
                </c:pt>
                <c:pt idx="32">
                  <c:v>76</c:v>
                </c:pt>
                <c:pt idx="33">
                  <c:v>137</c:v>
                </c:pt>
                <c:pt idx="34">
                  <c:v>140</c:v>
                </c:pt>
                <c:pt idx="35">
                  <c:v>142</c:v>
                </c:pt>
                <c:pt idx="36">
                  <c:v>209</c:v>
                </c:pt>
                <c:pt idx="37">
                  <c:v>270</c:v>
                </c:pt>
                <c:pt idx="38">
                  <c:v>482</c:v>
                </c:pt>
                <c:pt idx="39">
                  <c:v>539</c:v>
                </c:pt>
                <c:pt idx="40">
                  <c:v>584</c:v>
                </c:pt>
                <c:pt idx="41">
                  <c:v>655</c:v>
                </c:pt>
                <c:pt idx="42">
                  <c:v>844</c:v>
                </c:pt>
                <c:pt idx="43">
                  <c:v>865</c:v>
                </c:pt>
                <c:pt idx="44">
                  <c:v>997</c:v>
                </c:pt>
                <c:pt idx="45">
                  <c:v>1122</c:v>
                </c:pt>
                <c:pt idx="46">
                  <c:v>1134</c:v>
                </c:pt>
                <c:pt idx="47">
                  <c:v>1134</c:v>
                </c:pt>
                <c:pt idx="48">
                  <c:v>1517</c:v>
                </c:pt>
                <c:pt idx="49">
                  <c:v>1517</c:v>
                </c:pt>
                <c:pt idx="50">
                  <c:v>137</c:v>
                </c:pt>
                <c:pt idx="51">
                  <c:v>1793</c:v>
                </c:pt>
                <c:pt idx="52">
                  <c:v>1909</c:v>
                </c:pt>
                <c:pt idx="53">
                  <c:v>1913</c:v>
                </c:pt>
                <c:pt idx="54">
                  <c:v>2048</c:v>
                </c:pt>
                <c:pt idx="55">
                  <c:v>2164</c:v>
                </c:pt>
                <c:pt idx="56">
                  <c:v>2185</c:v>
                </c:pt>
                <c:pt idx="57">
                  <c:v>2240</c:v>
                </c:pt>
                <c:pt idx="58">
                  <c:v>2298</c:v>
                </c:pt>
                <c:pt idx="59">
                  <c:v>2445</c:v>
                </c:pt>
                <c:pt idx="60">
                  <c:v>2639</c:v>
                </c:pt>
                <c:pt idx="61">
                  <c:v>3040</c:v>
                </c:pt>
                <c:pt idx="62">
                  <c:v>3097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  <c:pt idx="54">
                  <c:v>-6.9047999997565057E-2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7FD-46B4-BB6A-A1A52391CCE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-3734</c:v>
                </c:pt>
                <c:pt idx="1">
                  <c:v>-2950</c:v>
                </c:pt>
                <c:pt idx="2">
                  <c:v>-2886</c:v>
                </c:pt>
                <c:pt idx="3">
                  <c:v>-2879</c:v>
                </c:pt>
                <c:pt idx="4">
                  <c:v>-2870</c:v>
                </c:pt>
                <c:pt idx="5">
                  <c:v>-2811</c:v>
                </c:pt>
                <c:pt idx="6">
                  <c:v>-2752</c:v>
                </c:pt>
                <c:pt idx="7">
                  <c:v>-2709</c:v>
                </c:pt>
                <c:pt idx="8">
                  <c:v>-2695</c:v>
                </c:pt>
                <c:pt idx="9">
                  <c:v>-2688</c:v>
                </c:pt>
                <c:pt idx="10">
                  <c:v>-2678</c:v>
                </c:pt>
                <c:pt idx="11">
                  <c:v>-2635</c:v>
                </c:pt>
                <c:pt idx="12">
                  <c:v>-2628</c:v>
                </c:pt>
                <c:pt idx="13">
                  <c:v>-2624</c:v>
                </c:pt>
                <c:pt idx="14">
                  <c:v>-2428</c:v>
                </c:pt>
                <c:pt idx="15">
                  <c:v>-2412</c:v>
                </c:pt>
                <c:pt idx="16">
                  <c:v>-2355</c:v>
                </c:pt>
                <c:pt idx="17">
                  <c:v>-2353</c:v>
                </c:pt>
                <c:pt idx="18">
                  <c:v>-2350</c:v>
                </c:pt>
                <c:pt idx="19">
                  <c:v>-2030</c:v>
                </c:pt>
                <c:pt idx="20">
                  <c:v>-1888</c:v>
                </c:pt>
                <c:pt idx="21">
                  <c:v>-1779</c:v>
                </c:pt>
                <c:pt idx="22">
                  <c:v>-1753</c:v>
                </c:pt>
                <c:pt idx="23">
                  <c:v>-1710</c:v>
                </c:pt>
                <c:pt idx="24">
                  <c:v>-1687</c:v>
                </c:pt>
                <c:pt idx="25">
                  <c:v>-1626</c:v>
                </c:pt>
                <c:pt idx="26">
                  <c:v>-1583</c:v>
                </c:pt>
                <c:pt idx="27">
                  <c:v>-1094</c:v>
                </c:pt>
                <c:pt idx="28">
                  <c:v>-18</c:v>
                </c:pt>
                <c:pt idx="29">
                  <c:v>19</c:v>
                </c:pt>
                <c:pt idx="30">
                  <c:v>62</c:v>
                </c:pt>
                <c:pt idx="31">
                  <c:v>76</c:v>
                </c:pt>
                <c:pt idx="32">
                  <c:v>76</c:v>
                </c:pt>
                <c:pt idx="33">
                  <c:v>137</c:v>
                </c:pt>
                <c:pt idx="34">
                  <c:v>140</c:v>
                </c:pt>
                <c:pt idx="35">
                  <c:v>142</c:v>
                </c:pt>
                <c:pt idx="36">
                  <c:v>209</c:v>
                </c:pt>
                <c:pt idx="37">
                  <c:v>270</c:v>
                </c:pt>
                <c:pt idx="38">
                  <c:v>482</c:v>
                </c:pt>
                <c:pt idx="39">
                  <c:v>539</c:v>
                </c:pt>
                <c:pt idx="40">
                  <c:v>584</c:v>
                </c:pt>
                <c:pt idx="41">
                  <c:v>655</c:v>
                </c:pt>
                <c:pt idx="42">
                  <c:v>844</c:v>
                </c:pt>
                <c:pt idx="43">
                  <c:v>865</c:v>
                </c:pt>
                <c:pt idx="44">
                  <c:v>997</c:v>
                </c:pt>
                <c:pt idx="45">
                  <c:v>1122</c:v>
                </c:pt>
                <c:pt idx="46">
                  <c:v>1134</c:v>
                </c:pt>
                <c:pt idx="47">
                  <c:v>1134</c:v>
                </c:pt>
                <c:pt idx="48">
                  <c:v>1517</c:v>
                </c:pt>
                <c:pt idx="49">
                  <c:v>1517</c:v>
                </c:pt>
                <c:pt idx="50">
                  <c:v>137</c:v>
                </c:pt>
                <c:pt idx="51">
                  <c:v>1793</c:v>
                </c:pt>
                <c:pt idx="52">
                  <c:v>1909</c:v>
                </c:pt>
                <c:pt idx="53">
                  <c:v>1913</c:v>
                </c:pt>
                <c:pt idx="54">
                  <c:v>2048</c:v>
                </c:pt>
                <c:pt idx="55">
                  <c:v>2164</c:v>
                </c:pt>
                <c:pt idx="56">
                  <c:v>2185</c:v>
                </c:pt>
                <c:pt idx="57">
                  <c:v>2240</c:v>
                </c:pt>
                <c:pt idx="58">
                  <c:v>2298</c:v>
                </c:pt>
                <c:pt idx="59">
                  <c:v>2445</c:v>
                </c:pt>
                <c:pt idx="60">
                  <c:v>2639</c:v>
                </c:pt>
                <c:pt idx="61">
                  <c:v>3040</c:v>
                </c:pt>
                <c:pt idx="62">
                  <c:v>3097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51">
                  <c:v>-8.6536542157147442E-2</c:v>
                </c:pt>
                <c:pt idx="52">
                  <c:v>-8.1069313322236283E-2</c:v>
                </c:pt>
                <c:pt idx="53">
                  <c:v>-8.0880788189997957E-2</c:v>
                </c:pt>
                <c:pt idx="54">
                  <c:v>-7.451806497695479E-2</c:v>
                </c:pt>
                <c:pt idx="55">
                  <c:v>-6.9050836142043617E-2</c:v>
                </c:pt>
                <c:pt idx="56">
                  <c:v>-6.806107919779246E-2</c:v>
                </c:pt>
                <c:pt idx="57">
                  <c:v>-6.5468858629515611E-2</c:v>
                </c:pt>
                <c:pt idx="58">
                  <c:v>-6.2735244212060032E-2</c:v>
                </c:pt>
                <c:pt idx="59">
                  <c:v>-5.5806945602301899E-2</c:v>
                </c:pt>
                <c:pt idx="60">
                  <c:v>-4.6663476688743571E-2</c:v>
                </c:pt>
                <c:pt idx="61">
                  <c:v>-2.7763832181852383E-2</c:v>
                </c:pt>
                <c:pt idx="62">
                  <c:v>-2.5077349047456371E-2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7FD-46B4-BB6A-A1A52391CCE9}"/>
            </c:ext>
          </c:extLst>
        </c:ser>
        <c:ser>
          <c:idx val="8"/>
          <c:order val="8"/>
          <c:tx>
            <c:strRef>
              <c:f>Active!$T$1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-3734</c:v>
                </c:pt>
                <c:pt idx="1">
                  <c:v>-2950</c:v>
                </c:pt>
                <c:pt idx="2">
                  <c:v>-2886</c:v>
                </c:pt>
                <c:pt idx="3">
                  <c:v>-2879</c:v>
                </c:pt>
                <c:pt idx="4">
                  <c:v>-2870</c:v>
                </c:pt>
                <c:pt idx="5">
                  <c:v>-2811</c:v>
                </c:pt>
                <c:pt idx="6">
                  <c:v>-2752</c:v>
                </c:pt>
                <c:pt idx="7">
                  <c:v>-2709</c:v>
                </c:pt>
                <c:pt idx="8">
                  <c:v>-2695</c:v>
                </c:pt>
                <c:pt idx="9">
                  <c:v>-2688</c:v>
                </c:pt>
                <c:pt idx="10">
                  <c:v>-2678</c:v>
                </c:pt>
                <c:pt idx="11">
                  <c:v>-2635</c:v>
                </c:pt>
                <c:pt idx="12">
                  <c:v>-2628</c:v>
                </c:pt>
                <c:pt idx="13">
                  <c:v>-2624</c:v>
                </c:pt>
                <c:pt idx="14">
                  <c:v>-2428</c:v>
                </c:pt>
                <c:pt idx="15">
                  <c:v>-2412</c:v>
                </c:pt>
                <c:pt idx="16">
                  <c:v>-2355</c:v>
                </c:pt>
                <c:pt idx="17">
                  <c:v>-2353</c:v>
                </c:pt>
                <c:pt idx="18">
                  <c:v>-2350</c:v>
                </c:pt>
                <c:pt idx="19">
                  <c:v>-2030</c:v>
                </c:pt>
                <c:pt idx="20">
                  <c:v>-1888</c:v>
                </c:pt>
                <c:pt idx="21">
                  <c:v>-1779</c:v>
                </c:pt>
                <c:pt idx="22">
                  <c:v>-1753</c:v>
                </c:pt>
                <c:pt idx="23">
                  <c:v>-1710</c:v>
                </c:pt>
                <c:pt idx="24">
                  <c:v>-1687</c:v>
                </c:pt>
                <c:pt idx="25">
                  <c:v>-1626</c:v>
                </c:pt>
                <c:pt idx="26">
                  <c:v>-1583</c:v>
                </c:pt>
                <c:pt idx="27">
                  <c:v>-1094</c:v>
                </c:pt>
                <c:pt idx="28">
                  <c:v>-18</c:v>
                </c:pt>
                <c:pt idx="29">
                  <c:v>19</c:v>
                </c:pt>
                <c:pt idx="30">
                  <c:v>62</c:v>
                </c:pt>
                <c:pt idx="31">
                  <c:v>76</c:v>
                </c:pt>
                <c:pt idx="32">
                  <c:v>76</c:v>
                </c:pt>
                <c:pt idx="33">
                  <c:v>137</c:v>
                </c:pt>
                <c:pt idx="34">
                  <c:v>140</c:v>
                </c:pt>
                <c:pt idx="35">
                  <c:v>142</c:v>
                </c:pt>
                <c:pt idx="36">
                  <c:v>209</c:v>
                </c:pt>
                <c:pt idx="37">
                  <c:v>270</c:v>
                </c:pt>
                <c:pt idx="38">
                  <c:v>482</c:v>
                </c:pt>
                <c:pt idx="39">
                  <c:v>539</c:v>
                </c:pt>
                <c:pt idx="40">
                  <c:v>584</c:v>
                </c:pt>
                <c:pt idx="41">
                  <c:v>655</c:v>
                </c:pt>
                <c:pt idx="42">
                  <c:v>844</c:v>
                </c:pt>
                <c:pt idx="43">
                  <c:v>865</c:v>
                </c:pt>
                <c:pt idx="44">
                  <c:v>997</c:v>
                </c:pt>
                <c:pt idx="45">
                  <c:v>1122</c:v>
                </c:pt>
                <c:pt idx="46">
                  <c:v>1134</c:v>
                </c:pt>
                <c:pt idx="47">
                  <c:v>1134</c:v>
                </c:pt>
                <c:pt idx="48">
                  <c:v>1517</c:v>
                </c:pt>
                <c:pt idx="49">
                  <c:v>1517</c:v>
                </c:pt>
                <c:pt idx="50">
                  <c:v>137</c:v>
                </c:pt>
                <c:pt idx="51">
                  <c:v>1793</c:v>
                </c:pt>
                <c:pt idx="52">
                  <c:v>1909</c:v>
                </c:pt>
                <c:pt idx="53">
                  <c:v>1913</c:v>
                </c:pt>
                <c:pt idx="54">
                  <c:v>2048</c:v>
                </c:pt>
                <c:pt idx="55">
                  <c:v>2164</c:v>
                </c:pt>
                <c:pt idx="56">
                  <c:v>2185</c:v>
                </c:pt>
                <c:pt idx="57">
                  <c:v>2240</c:v>
                </c:pt>
                <c:pt idx="58">
                  <c:v>2298</c:v>
                </c:pt>
                <c:pt idx="59">
                  <c:v>2445</c:v>
                </c:pt>
                <c:pt idx="60">
                  <c:v>2639</c:v>
                </c:pt>
                <c:pt idx="61">
                  <c:v>3040</c:v>
                </c:pt>
                <c:pt idx="62">
                  <c:v>3097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  <c:pt idx="2">
                  <c:v>0.12418599999728031</c:v>
                </c:pt>
                <c:pt idx="3">
                  <c:v>0.1110289999996894</c:v>
                </c:pt>
                <c:pt idx="6">
                  <c:v>-0.22524800000246614</c:v>
                </c:pt>
                <c:pt idx="7">
                  <c:v>-0.13664100000096369</c:v>
                </c:pt>
                <c:pt idx="8">
                  <c:v>-0.17995500000324682</c:v>
                </c:pt>
                <c:pt idx="10">
                  <c:v>0.16837799999848357</c:v>
                </c:pt>
                <c:pt idx="11">
                  <c:v>0.18498499999986961</c:v>
                </c:pt>
                <c:pt idx="45">
                  <c:v>-0.1284220000015921</c:v>
                </c:pt>
                <c:pt idx="53">
                  <c:v>-0.10216299999592593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7FD-46B4-BB6A-A1A52391CCE9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-3734</c:v>
                </c:pt>
                <c:pt idx="1">
                  <c:v>-2950</c:v>
                </c:pt>
                <c:pt idx="2">
                  <c:v>-2886</c:v>
                </c:pt>
                <c:pt idx="3">
                  <c:v>-2879</c:v>
                </c:pt>
                <c:pt idx="4">
                  <c:v>-2870</c:v>
                </c:pt>
                <c:pt idx="5">
                  <c:v>-2811</c:v>
                </c:pt>
                <c:pt idx="6">
                  <c:v>-2752</c:v>
                </c:pt>
                <c:pt idx="7">
                  <c:v>-2709</c:v>
                </c:pt>
                <c:pt idx="8">
                  <c:v>-2695</c:v>
                </c:pt>
                <c:pt idx="9">
                  <c:v>-2688</c:v>
                </c:pt>
                <c:pt idx="10">
                  <c:v>-2678</c:v>
                </c:pt>
                <c:pt idx="11">
                  <c:v>-2635</c:v>
                </c:pt>
                <c:pt idx="12">
                  <c:v>-2628</c:v>
                </c:pt>
                <c:pt idx="13">
                  <c:v>-2624</c:v>
                </c:pt>
                <c:pt idx="14">
                  <c:v>-2428</c:v>
                </c:pt>
                <c:pt idx="15">
                  <c:v>-2412</c:v>
                </c:pt>
                <c:pt idx="16">
                  <c:v>-2355</c:v>
                </c:pt>
                <c:pt idx="17">
                  <c:v>-2353</c:v>
                </c:pt>
                <c:pt idx="18">
                  <c:v>-2350</c:v>
                </c:pt>
                <c:pt idx="19">
                  <c:v>-2030</c:v>
                </c:pt>
                <c:pt idx="20">
                  <c:v>-1888</c:v>
                </c:pt>
                <c:pt idx="21">
                  <c:v>-1779</c:v>
                </c:pt>
                <c:pt idx="22">
                  <c:v>-1753</c:v>
                </c:pt>
                <c:pt idx="23">
                  <c:v>-1710</c:v>
                </c:pt>
                <c:pt idx="24">
                  <c:v>-1687</c:v>
                </c:pt>
                <c:pt idx="25">
                  <c:v>-1626</c:v>
                </c:pt>
                <c:pt idx="26">
                  <c:v>-1583</c:v>
                </c:pt>
                <c:pt idx="27">
                  <c:v>-1094</c:v>
                </c:pt>
                <c:pt idx="28">
                  <c:v>-18</c:v>
                </c:pt>
                <c:pt idx="29">
                  <c:v>19</c:v>
                </c:pt>
                <c:pt idx="30">
                  <c:v>62</c:v>
                </c:pt>
                <c:pt idx="31">
                  <c:v>76</c:v>
                </c:pt>
                <c:pt idx="32">
                  <c:v>76</c:v>
                </c:pt>
                <c:pt idx="33">
                  <c:v>137</c:v>
                </c:pt>
                <c:pt idx="34">
                  <c:v>140</c:v>
                </c:pt>
                <c:pt idx="35">
                  <c:v>142</c:v>
                </c:pt>
                <c:pt idx="36">
                  <c:v>209</c:v>
                </c:pt>
                <c:pt idx="37">
                  <c:v>270</c:v>
                </c:pt>
                <c:pt idx="38">
                  <c:v>482</c:v>
                </c:pt>
                <c:pt idx="39">
                  <c:v>539</c:v>
                </c:pt>
                <c:pt idx="40">
                  <c:v>584</c:v>
                </c:pt>
                <c:pt idx="41">
                  <c:v>655</c:v>
                </c:pt>
                <c:pt idx="42">
                  <c:v>844</c:v>
                </c:pt>
                <c:pt idx="43">
                  <c:v>865</c:v>
                </c:pt>
                <c:pt idx="44">
                  <c:v>997</c:v>
                </c:pt>
                <c:pt idx="45">
                  <c:v>1122</c:v>
                </c:pt>
                <c:pt idx="46">
                  <c:v>1134</c:v>
                </c:pt>
                <c:pt idx="47">
                  <c:v>1134</c:v>
                </c:pt>
                <c:pt idx="48">
                  <c:v>1517</c:v>
                </c:pt>
                <c:pt idx="49">
                  <c:v>1517</c:v>
                </c:pt>
                <c:pt idx="50">
                  <c:v>137</c:v>
                </c:pt>
                <c:pt idx="51">
                  <c:v>1793</c:v>
                </c:pt>
                <c:pt idx="52">
                  <c:v>1909</c:v>
                </c:pt>
                <c:pt idx="53">
                  <c:v>1913</c:v>
                </c:pt>
                <c:pt idx="54">
                  <c:v>2048</c:v>
                </c:pt>
                <c:pt idx="55">
                  <c:v>2164</c:v>
                </c:pt>
                <c:pt idx="56">
                  <c:v>2185</c:v>
                </c:pt>
                <c:pt idx="57">
                  <c:v>2240</c:v>
                </c:pt>
                <c:pt idx="58">
                  <c:v>2298</c:v>
                </c:pt>
                <c:pt idx="59">
                  <c:v>2445</c:v>
                </c:pt>
                <c:pt idx="60">
                  <c:v>2639</c:v>
                </c:pt>
                <c:pt idx="61">
                  <c:v>3040</c:v>
                </c:pt>
                <c:pt idx="62">
                  <c:v>3097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  <c:pt idx="2">
                  <c:v>0.12418599999728031</c:v>
                </c:pt>
                <c:pt idx="3">
                  <c:v>0.1110289999996894</c:v>
                </c:pt>
                <c:pt idx="6">
                  <c:v>-0.22524800000246614</c:v>
                </c:pt>
                <c:pt idx="7">
                  <c:v>-0.13664100000096369</c:v>
                </c:pt>
                <c:pt idx="8">
                  <c:v>-0.17995500000324682</c:v>
                </c:pt>
                <c:pt idx="10">
                  <c:v>0.16837799999848357</c:v>
                </c:pt>
                <c:pt idx="11">
                  <c:v>0.18498499999986961</c:v>
                </c:pt>
                <c:pt idx="45">
                  <c:v>-0.1284220000015921</c:v>
                </c:pt>
                <c:pt idx="53">
                  <c:v>-0.10216299999592593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7FD-46B4-BB6A-A1A52391C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8839752"/>
        <c:axId val="1"/>
      </c:scatterChart>
      <c:valAx>
        <c:axId val="758839752"/>
        <c:scaling>
          <c:orientation val="minMax"/>
          <c:min val="-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79069879160278"/>
              <c:y val="0.842264404449443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580698835274545E-2"/>
              <c:y val="0.372024746906636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8397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149750415973377"/>
          <c:y val="0.92262185976752908"/>
          <c:w val="0.89184762054493605"/>
          <c:h val="5.95241219847518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TU Cnc - O-C Diagr.</a:t>
            </a:r>
          </a:p>
        </c:rich>
      </c:tx>
      <c:layout>
        <c:manualLayout>
          <c:xMode val="edge"/>
          <c:yMode val="edge"/>
          <c:x val="0.37209302325581395"/>
          <c:y val="3.56083086053412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51827242524917"/>
          <c:y val="0.14243344079400153"/>
          <c:w val="0.80897009966777411"/>
          <c:h val="0.6409504835730068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-3734</c:v>
                </c:pt>
                <c:pt idx="1">
                  <c:v>-2950</c:v>
                </c:pt>
                <c:pt idx="2">
                  <c:v>-2886</c:v>
                </c:pt>
                <c:pt idx="3">
                  <c:v>-2879</c:v>
                </c:pt>
                <c:pt idx="4">
                  <c:v>-2870</c:v>
                </c:pt>
                <c:pt idx="5">
                  <c:v>-2811</c:v>
                </c:pt>
                <c:pt idx="6">
                  <c:v>-2752</c:v>
                </c:pt>
                <c:pt idx="7">
                  <c:v>-2709</c:v>
                </c:pt>
                <c:pt idx="8">
                  <c:v>-2695</c:v>
                </c:pt>
                <c:pt idx="9">
                  <c:v>-2688</c:v>
                </c:pt>
                <c:pt idx="10">
                  <c:v>-2678</c:v>
                </c:pt>
                <c:pt idx="11">
                  <c:v>-2635</c:v>
                </c:pt>
                <c:pt idx="12">
                  <c:v>-2628</c:v>
                </c:pt>
                <c:pt idx="13">
                  <c:v>-2624</c:v>
                </c:pt>
                <c:pt idx="14">
                  <c:v>-2428</c:v>
                </c:pt>
                <c:pt idx="15">
                  <c:v>-2412</c:v>
                </c:pt>
                <c:pt idx="16">
                  <c:v>-2355</c:v>
                </c:pt>
                <c:pt idx="17">
                  <c:v>-2353</c:v>
                </c:pt>
                <c:pt idx="18">
                  <c:v>-2350</c:v>
                </c:pt>
                <c:pt idx="19">
                  <c:v>-2030</c:v>
                </c:pt>
                <c:pt idx="20">
                  <c:v>-1888</c:v>
                </c:pt>
                <c:pt idx="21">
                  <c:v>-1779</c:v>
                </c:pt>
                <c:pt idx="22">
                  <c:v>-1753</c:v>
                </c:pt>
                <c:pt idx="23">
                  <c:v>-1710</c:v>
                </c:pt>
                <c:pt idx="24">
                  <c:v>-1687</c:v>
                </c:pt>
                <c:pt idx="25">
                  <c:v>-1626</c:v>
                </c:pt>
                <c:pt idx="26">
                  <c:v>-1583</c:v>
                </c:pt>
                <c:pt idx="27">
                  <c:v>-1094</c:v>
                </c:pt>
                <c:pt idx="28">
                  <c:v>-18</c:v>
                </c:pt>
                <c:pt idx="29">
                  <c:v>19</c:v>
                </c:pt>
                <c:pt idx="30">
                  <c:v>62</c:v>
                </c:pt>
                <c:pt idx="31">
                  <c:v>76</c:v>
                </c:pt>
                <c:pt idx="32">
                  <c:v>76</c:v>
                </c:pt>
                <c:pt idx="33">
                  <c:v>137</c:v>
                </c:pt>
                <c:pt idx="34">
                  <c:v>140</c:v>
                </c:pt>
                <c:pt idx="35">
                  <c:v>142</c:v>
                </c:pt>
                <c:pt idx="36">
                  <c:v>209</c:v>
                </c:pt>
                <c:pt idx="37">
                  <c:v>270</c:v>
                </c:pt>
                <c:pt idx="38">
                  <c:v>482</c:v>
                </c:pt>
                <c:pt idx="39">
                  <c:v>539</c:v>
                </c:pt>
                <c:pt idx="40">
                  <c:v>584</c:v>
                </c:pt>
                <c:pt idx="41">
                  <c:v>655</c:v>
                </c:pt>
                <c:pt idx="42">
                  <c:v>844</c:v>
                </c:pt>
                <c:pt idx="43">
                  <c:v>865</c:v>
                </c:pt>
                <c:pt idx="44">
                  <c:v>997</c:v>
                </c:pt>
                <c:pt idx="45">
                  <c:v>1122</c:v>
                </c:pt>
                <c:pt idx="46">
                  <c:v>1134</c:v>
                </c:pt>
                <c:pt idx="47">
                  <c:v>1134</c:v>
                </c:pt>
                <c:pt idx="48">
                  <c:v>1517</c:v>
                </c:pt>
                <c:pt idx="49">
                  <c:v>1517</c:v>
                </c:pt>
                <c:pt idx="50">
                  <c:v>137</c:v>
                </c:pt>
                <c:pt idx="51">
                  <c:v>1793</c:v>
                </c:pt>
                <c:pt idx="52">
                  <c:v>1909</c:v>
                </c:pt>
                <c:pt idx="53">
                  <c:v>1913</c:v>
                </c:pt>
                <c:pt idx="54">
                  <c:v>2048</c:v>
                </c:pt>
                <c:pt idx="55">
                  <c:v>2164</c:v>
                </c:pt>
                <c:pt idx="56">
                  <c:v>2185</c:v>
                </c:pt>
                <c:pt idx="57">
                  <c:v>2240</c:v>
                </c:pt>
                <c:pt idx="58">
                  <c:v>2298</c:v>
                </c:pt>
                <c:pt idx="59">
                  <c:v>2445</c:v>
                </c:pt>
                <c:pt idx="60">
                  <c:v>2639</c:v>
                </c:pt>
                <c:pt idx="61">
                  <c:v>3040</c:v>
                </c:pt>
                <c:pt idx="62">
                  <c:v>3097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50">
                  <c:v>-9.1870000032940879E-3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B0-4A6F-9306-170E904E77B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0">
                    <c:v>0</c:v>
                  </c:pt>
                  <c:pt idx="36">
                    <c:v>0</c:v>
                  </c:pt>
                  <c:pt idx="46">
                    <c:v>1.0999999999999999E-2</c:v>
                  </c:pt>
                  <c:pt idx="48">
                    <c:v>6.0000000000000001E-3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7.0000000000000001E-3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2.0999999999999999E-3</c:v>
                  </c:pt>
                  <c:pt idx="60">
                    <c:v>1.06E-2</c:v>
                  </c:pt>
                  <c:pt idx="61">
                    <c:v>8.0000000000000004E-4</c:v>
                  </c:pt>
                  <c:pt idx="62">
                    <c:v>2.5000000000000001E-3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0">
                    <c:v>0</c:v>
                  </c:pt>
                  <c:pt idx="36">
                    <c:v>0</c:v>
                  </c:pt>
                  <c:pt idx="46">
                    <c:v>1.0999999999999999E-2</c:v>
                  </c:pt>
                  <c:pt idx="48">
                    <c:v>6.0000000000000001E-3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7.0000000000000001E-3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2.0999999999999999E-3</c:v>
                  </c:pt>
                  <c:pt idx="60">
                    <c:v>1.06E-2</c:v>
                  </c:pt>
                  <c:pt idx="61">
                    <c:v>8.0000000000000004E-4</c:v>
                  </c:pt>
                  <c:pt idx="62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-3734</c:v>
                </c:pt>
                <c:pt idx="1">
                  <c:v>-2950</c:v>
                </c:pt>
                <c:pt idx="2">
                  <c:v>-2886</c:v>
                </c:pt>
                <c:pt idx="3">
                  <c:v>-2879</c:v>
                </c:pt>
                <c:pt idx="4">
                  <c:v>-2870</c:v>
                </c:pt>
                <c:pt idx="5">
                  <c:v>-2811</c:v>
                </c:pt>
                <c:pt idx="6">
                  <c:v>-2752</c:v>
                </c:pt>
                <c:pt idx="7">
                  <c:v>-2709</c:v>
                </c:pt>
                <c:pt idx="8">
                  <c:v>-2695</c:v>
                </c:pt>
                <c:pt idx="9">
                  <c:v>-2688</c:v>
                </c:pt>
                <c:pt idx="10">
                  <c:v>-2678</c:v>
                </c:pt>
                <c:pt idx="11">
                  <c:v>-2635</c:v>
                </c:pt>
                <c:pt idx="12">
                  <c:v>-2628</c:v>
                </c:pt>
                <c:pt idx="13">
                  <c:v>-2624</c:v>
                </c:pt>
                <c:pt idx="14">
                  <c:v>-2428</c:v>
                </c:pt>
                <c:pt idx="15">
                  <c:v>-2412</c:v>
                </c:pt>
                <c:pt idx="16">
                  <c:v>-2355</c:v>
                </c:pt>
                <c:pt idx="17">
                  <c:v>-2353</c:v>
                </c:pt>
                <c:pt idx="18">
                  <c:v>-2350</c:v>
                </c:pt>
                <c:pt idx="19">
                  <c:v>-2030</c:v>
                </c:pt>
                <c:pt idx="20">
                  <c:v>-1888</c:v>
                </c:pt>
                <c:pt idx="21">
                  <c:v>-1779</c:v>
                </c:pt>
                <c:pt idx="22">
                  <c:v>-1753</c:v>
                </c:pt>
                <c:pt idx="23">
                  <c:v>-1710</c:v>
                </c:pt>
                <c:pt idx="24">
                  <c:v>-1687</c:v>
                </c:pt>
                <c:pt idx="25">
                  <c:v>-1626</c:v>
                </c:pt>
                <c:pt idx="26">
                  <c:v>-1583</c:v>
                </c:pt>
                <c:pt idx="27">
                  <c:v>-1094</c:v>
                </c:pt>
                <c:pt idx="28">
                  <c:v>-18</c:v>
                </c:pt>
                <c:pt idx="29">
                  <c:v>19</c:v>
                </c:pt>
                <c:pt idx="30">
                  <c:v>62</c:v>
                </c:pt>
                <c:pt idx="31">
                  <c:v>76</c:v>
                </c:pt>
                <c:pt idx="32">
                  <c:v>76</c:v>
                </c:pt>
                <c:pt idx="33">
                  <c:v>137</c:v>
                </c:pt>
                <c:pt idx="34">
                  <c:v>140</c:v>
                </c:pt>
                <c:pt idx="35">
                  <c:v>142</c:v>
                </c:pt>
                <c:pt idx="36">
                  <c:v>209</c:v>
                </c:pt>
                <c:pt idx="37">
                  <c:v>270</c:v>
                </c:pt>
                <c:pt idx="38">
                  <c:v>482</c:v>
                </c:pt>
                <c:pt idx="39">
                  <c:v>539</c:v>
                </c:pt>
                <c:pt idx="40">
                  <c:v>584</c:v>
                </c:pt>
                <c:pt idx="41">
                  <c:v>655</c:v>
                </c:pt>
                <c:pt idx="42">
                  <c:v>844</c:v>
                </c:pt>
                <c:pt idx="43">
                  <c:v>865</c:v>
                </c:pt>
                <c:pt idx="44">
                  <c:v>997</c:v>
                </c:pt>
                <c:pt idx="45">
                  <c:v>1122</c:v>
                </c:pt>
                <c:pt idx="46">
                  <c:v>1134</c:v>
                </c:pt>
                <c:pt idx="47">
                  <c:v>1134</c:v>
                </c:pt>
                <c:pt idx="48">
                  <c:v>1517</c:v>
                </c:pt>
                <c:pt idx="49">
                  <c:v>1517</c:v>
                </c:pt>
                <c:pt idx="50">
                  <c:v>137</c:v>
                </c:pt>
                <c:pt idx="51">
                  <c:v>1793</c:v>
                </c:pt>
                <c:pt idx="52">
                  <c:v>1909</c:v>
                </c:pt>
                <c:pt idx="53">
                  <c:v>1913</c:v>
                </c:pt>
                <c:pt idx="54">
                  <c:v>2048</c:v>
                </c:pt>
                <c:pt idx="55">
                  <c:v>2164</c:v>
                </c:pt>
                <c:pt idx="56">
                  <c:v>2185</c:v>
                </c:pt>
                <c:pt idx="57">
                  <c:v>2240</c:v>
                </c:pt>
                <c:pt idx="58">
                  <c:v>2298</c:v>
                </c:pt>
                <c:pt idx="59">
                  <c:v>2445</c:v>
                </c:pt>
                <c:pt idx="60">
                  <c:v>2639</c:v>
                </c:pt>
                <c:pt idx="61">
                  <c:v>3040</c:v>
                </c:pt>
                <c:pt idx="62">
                  <c:v>3097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0">
                  <c:v>-7.636600000114413E-2</c:v>
                </c:pt>
                <c:pt idx="1">
                  <c:v>-7.7950000002601882E-2</c:v>
                </c:pt>
                <c:pt idx="4">
                  <c:v>-1.7030000002705492E-2</c:v>
                </c:pt>
                <c:pt idx="5">
                  <c:v>-5.5639000001974637E-2</c:v>
                </c:pt>
                <c:pt idx="9">
                  <c:v>-4.8112000000401167E-2</c:v>
                </c:pt>
                <c:pt idx="12">
                  <c:v>8.8279999981750734E-3</c:v>
                </c:pt>
                <c:pt idx="13">
                  <c:v>-8.297600000150851E-2</c:v>
                </c:pt>
                <c:pt idx="14">
                  <c:v>-1.6372000001865672E-2</c:v>
                </c:pt>
                <c:pt idx="15">
                  <c:v>-2.5880000030156225E-3</c:v>
                </c:pt>
                <c:pt idx="16">
                  <c:v>-9.2949999998381827E-3</c:v>
                </c:pt>
                <c:pt idx="17">
                  <c:v>-2.197000001615379E-3</c:v>
                </c:pt>
                <c:pt idx="18">
                  <c:v>-8.5500000022875611E-3</c:v>
                </c:pt>
                <c:pt idx="19">
                  <c:v>2.1300000007613562E-3</c:v>
                </c:pt>
                <c:pt idx="20">
                  <c:v>2.7087999995274004E-2</c:v>
                </c:pt>
                <c:pt idx="21">
                  <c:v>3.9289999986067414E-3</c:v>
                </c:pt>
                <c:pt idx="22">
                  <c:v>4.4202999997651204E-2</c:v>
                </c:pt>
                <c:pt idx="23">
                  <c:v>1.780999999755295E-2</c:v>
                </c:pt>
                <c:pt idx="24">
                  <c:v>1.3437000001431443E-2</c:v>
                </c:pt>
                <c:pt idx="25">
                  <c:v>-7.3999995947815478E-5</c:v>
                </c:pt>
                <c:pt idx="26">
                  <c:v>2.1532999999180902E-2</c:v>
                </c:pt>
                <c:pt idx="27">
                  <c:v>7.9939999995986E-3</c:v>
                </c:pt>
                <c:pt idx="28">
                  <c:v>2.1718000003602356E-2</c:v>
                </c:pt>
                <c:pt idx="29">
                  <c:v>3.1000003218650818E-5</c:v>
                </c:pt>
                <c:pt idx="30">
                  <c:v>-2.7362000000721309E-2</c:v>
                </c:pt>
                <c:pt idx="31">
                  <c:v>6.3240000017685816E-3</c:v>
                </c:pt>
                <c:pt idx="32">
                  <c:v>3.6324000000604428E-2</c:v>
                </c:pt>
                <c:pt idx="33">
                  <c:v>-9.1870000032940879E-3</c:v>
                </c:pt>
                <c:pt idx="34">
                  <c:v>-5.5399999982910231E-3</c:v>
                </c:pt>
                <c:pt idx="35">
                  <c:v>-6.4420000053360127E-3</c:v>
                </c:pt>
                <c:pt idx="36">
                  <c:v>1.0341000001062639E-2</c:v>
                </c:pt>
                <c:pt idx="37">
                  <c:v>9.8300000026938505E-3</c:v>
                </c:pt>
                <c:pt idx="38">
                  <c:v>-1.2781999997969251E-2</c:v>
                </c:pt>
                <c:pt idx="39">
                  <c:v>-1.1488999996799976E-2</c:v>
                </c:pt>
                <c:pt idx="40">
                  <c:v>-2.0784000000276137E-2</c:v>
                </c:pt>
                <c:pt idx="41">
                  <c:v>-2.7804999997897539E-2</c:v>
                </c:pt>
                <c:pt idx="42">
                  <c:v>-1.8044000004010741E-2</c:v>
                </c:pt>
                <c:pt idx="43">
                  <c:v>-2.6515000005019829E-2</c:v>
                </c:pt>
                <c:pt idx="44">
                  <c:v>-7.2047000001475681E-2</c:v>
                </c:pt>
                <c:pt idx="46">
                  <c:v>-7.4833999999100342E-2</c:v>
                </c:pt>
                <c:pt idx="47">
                  <c:v>-6.4833999997063074E-2</c:v>
                </c:pt>
                <c:pt idx="48">
                  <c:v>-6.8566999994800426E-2</c:v>
                </c:pt>
                <c:pt idx="49">
                  <c:v>-5.756699999619741E-2</c:v>
                </c:pt>
                <c:pt idx="51">
                  <c:v>-7.6043000008212402E-2</c:v>
                </c:pt>
                <c:pt idx="55">
                  <c:v>-7.2363999999652151E-2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B0-4A6F-9306-170E904E77B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-3734</c:v>
                </c:pt>
                <c:pt idx="1">
                  <c:v>-2950</c:v>
                </c:pt>
                <c:pt idx="2">
                  <c:v>-2886</c:v>
                </c:pt>
                <c:pt idx="3">
                  <c:v>-2879</c:v>
                </c:pt>
                <c:pt idx="4">
                  <c:v>-2870</c:v>
                </c:pt>
                <c:pt idx="5">
                  <c:v>-2811</c:v>
                </c:pt>
                <c:pt idx="6">
                  <c:v>-2752</c:v>
                </c:pt>
                <c:pt idx="7">
                  <c:v>-2709</c:v>
                </c:pt>
                <c:pt idx="8">
                  <c:v>-2695</c:v>
                </c:pt>
                <c:pt idx="9">
                  <c:v>-2688</c:v>
                </c:pt>
                <c:pt idx="10">
                  <c:v>-2678</c:v>
                </c:pt>
                <c:pt idx="11">
                  <c:v>-2635</c:v>
                </c:pt>
                <c:pt idx="12">
                  <c:v>-2628</c:v>
                </c:pt>
                <c:pt idx="13">
                  <c:v>-2624</c:v>
                </c:pt>
                <c:pt idx="14">
                  <c:v>-2428</c:v>
                </c:pt>
                <c:pt idx="15">
                  <c:v>-2412</c:v>
                </c:pt>
                <c:pt idx="16">
                  <c:v>-2355</c:v>
                </c:pt>
                <c:pt idx="17">
                  <c:v>-2353</c:v>
                </c:pt>
                <c:pt idx="18">
                  <c:v>-2350</c:v>
                </c:pt>
                <c:pt idx="19">
                  <c:v>-2030</c:v>
                </c:pt>
                <c:pt idx="20">
                  <c:v>-1888</c:v>
                </c:pt>
                <c:pt idx="21">
                  <c:v>-1779</c:v>
                </c:pt>
                <c:pt idx="22">
                  <c:v>-1753</c:v>
                </c:pt>
                <c:pt idx="23">
                  <c:v>-1710</c:v>
                </c:pt>
                <c:pt idx="24">
                  <c:v>-1687</c:v>
                </c:pt>
                <c:pt idx="25">
                  <c:v>-1626</c:v>
                </c:pt>
                <c:pt idx="26">
                  <c:v>-1583</c:v>
                </c:pt>
                <c:pt idx="27">
                  <c:v>-1094</c:v>
                </c:pt>
                <c:pt idx="28">
                  <c:v>-18</c:v>
                </c:pt>
                <c:pt idx="29">
                  <c:v>19</c:v>
                </c:pt>
                <c:pt idx="30">
                  <c:v>62</c:v>
                </c:pt>
                <c:pt idx="31">
                  <c:v>76</c:v>
                </c:pt>
                <c:pt idx="32">
                  <c:v>76</c:v>
                </c:pt>
                <c:pt idx="33">
                  <c:v>137</c:v>
                </c:pt>
                <c:pt idx="34">
                  <c:v>140</c:v>
                </c:pt>
                <c:pt idx="35">
                  <c:v>142</c:v>
                </c:pt>
                <c:pt idx="36">
                  <c:v>209</c:v>
                </c:pt>
                <c:pt idx="37">
                  <c:v>270</c:v>
                </c:pt>
                <c:pt idx="38">
                  <c:v>482</c:v>
                </c:pt>
                <c:pt idx="39">
                  <c:v>539</c:v>
                </c:pt>
                <c:pt idx="40">
                  <c:v>584</c:v>
                </c:pt>
                <c:pt idx="41">
                  <c:v>655</c:v>
                </c:pt>
                <c:pt idx="42">
                  <c:v>844</c:v>
                </c:pt>
                <c:pt idx="43">
                  <c:v>865</c:v>
                </c:pt>
                <c:pt idx="44">
                  <c:v>997</c:v>
                </c:pt>
                <c:pt idx="45">
                  <c:v>1122</c:v>
                </c:pt>
                <c:pt idx="46">
                  <c:v>1134</c:v>
                </c:pt>
                <c:pt idx="47">
                  <c:v>1134</c:v>
                </c:pt>
                <c:pt idx="48">
                  <c:v>1517</c:v>
                </c:pt>
                <c:pt idx="49">
                  <c:v>1517</c:v>
                </c:pt>
                <c:pt idx="50">
                  <c:v>137</c:v>
                </c:pt>
                <c:pt idx="51">
                  <c:v>1793</c:v>
                </c:pt>
                <c:pt idx="52">
                  <c:v>1909</c:v>
                </c:pt>
                <c:pt idx="53">
                  <c:v>1913</c:v>
                </c:pt>
                <c:pt idx="54">
                  <c:v>2048</c:v>
                </c:pt>
                <c:pt idx="55">
                  <c:v>2164</c:v>
                </c:pt>
                <c:pt idx="56">
                  <c:v>2185</c:v>
                </c:pt>
                <c:pt idx="57">
                  <c:v>2240</c:v>
                </c:pt>
                <c:pt idx="58">
                  <c:v>2298</c:v>
                </c:pt>
                <c:pt idx="59">
                  <c:v>2445</c:v>
                </c:pt>
                <c:pt idx="60">
                  <c:v>2639</c:v>
                </c:pt>
                <c:pt idx="61">
                  <c:v>3040</c:v>
                </c:pt>
                <c:pt idx="62">
                  <c:v>3097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52">
                  <c:v>-7.0358999997552019E-2</c:v>
                </c:pt>
                <c:pt idx="56">
                  <c:v>-6.903500000044005E-2</c:v>
                </c:pt>
                <c:pt idx="57">
                  <c:v>-6.8840000007185154E-2</c:v>
                </c:pt>
                <c:pt idx="58">
                  <c:v>-6.7797999996400904E-2</c:v>
                </c:pt>
                <c:pt idx="59">
                  <c:v>-6.2395000000833534E-2</c:v>
                </c:pt>
                <c:pt idx="60">
                  <c:v>-5.4888999999093357E-2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0B0-4A6F-9306-170E904E77B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0">
                    <c:v>0</c:v>
                  </c:pt>
                  <c:pt idx="36">
                    <c:v>0</c:v>
                  </c:pt>
                  <c:pt idx="46">
                    <c:v>1.0999999999999999E-2</c:v>
                  </c:pt>
                  <c:pt idx="48">
                    <c:v>6.0000000000000001E-3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7.0000000000000001E-3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2.0999999999999999E-3</c:v>
                  </c:pt>
                  <c:pt idx="60">
                    <c:v>1.06E-2</c:v>
                  </c:pt>
                  <c:pt idx="61">
                    <c:v>8.0000000000000004E-4</c:v>
                  </c:pt>
                  <c:pt idx="62">
                    <c:v>2.5000000000000001E-3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0">
                    <c:v>0</c:v>
                  </c:pt>
                  <c:pt idx="36">
                    <c:v>0</c:v>
                  </c:pt>
                  <c:pt idx="46">
                    <c:v>1.0999999999999999E-2</c:v>
                  </c:pt>
                  <c:pt idx="48">
                    <c:v>6.0000000000000001E-3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7.0000000000000001E-3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2.0999999999999999E-3</c:v>
                  </c:pt>
                  <c:pt idx="60">
                    <c:v>1.06E-2</c:v>
                  </c:pt>
                  <c:pt idx="61">
                    <c:v>8.0000000000000004E-4</c:v>
                  </c:pt>
                  <c:pt idx="62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-3734</c:v>
                </c:pt>
                <c:pt idx="1">
                  <c:v>-2950</c:v>
                </c:pt>
                <c:pt idx="2">
                  <c:v>-2886</c:v>
                </c:pt>
                <c:pt idx="3">
                  <c:v>-2879</c:v>
                </c:pt>
                <c:pt idx="4">
                  <c:v>-2870</c:v>
                </c:pt>
                <c:pt idx="5">
                  <c:v>-2811</c:v>
                </c:pt>
                <c:pt idx="6">
                  <c:v>-2752</c:v>
                </c:pt>
                <c:pt idx="7">
                  <c:v>-2709</c:v>
                </c:pt>
                <c:pt idx="8">
                  <c:v>-2695</c:v>
                </c:pt>
                <c:pt idx="9">
                  <c:v>-2688</c:v>
                </c:pt>
                <c:pt idx="10">
                  <c:v>-2678</c:v>
                </c:pt>
                <c:pt idx="11">
                  <c:v>-2635</c:v>
                </c:pt>
                <c:pt idx="12">
                  <c:v>-2628</c:v>
                </c:pt>
                <c:pt idx="13">
                  <c:v>-2624</c:v>
                </c:pt>
                <c:pt idx="14">
                  <c:v>-2428</c:v>
                </c:pt>
                <c:pt idx="15">
                  <c:v>-2412</c:v>
                </c:pt>
                <c:pt idx="16">
                  <c:v>-2355</c:v>
                </c:pt>
                <c:pt idx="17">
                  <c:v>-2353</c:v>
                </c:pt>
                <c:pt idx="18">
                  <c:v>-2350</c:v>
                </c:pt>
                <c:pt idx="19">
                  <c:v>-2030</c:v>
                </c:pt>
                <c:pt idx="20">
                  <c:v>-1888</c:v>
                </c:pt>
                <c:pt idx="21">
                  <c:v>-1779</c:v>
                </c:pt>
                <c:pt idx="22">
                  <c:v>-1753</c:v>
                </c:pt>
                <c:pt idx="23">
                  <c:v>-1710</c:v>
                </c:pt>
                <c:pt idx="24">
                  <c:v>-1687</c:v>
                </c:pt>
                <c:pt idx="25">
                  <c:v>-1626</c:v>
                </c:pt>
                <c:pt idx="26">
                  <c:v>-1583</c:v>
                </c:pt>
                <c:pt idx="27">
                  <c:v>-1094</c:v>
                </c:pt>
                <c:pt idx="28">
                  <c:v>-18</c:v>
                </c:pt>
                <c:pt idx="29">
                  <c:v>19</c:v>
                </c:pt>
                <c:pt idx="30">
                  <c:v>62</c:v>
                </c:pt>
                <c:pt idx="31">
                  <c:v>76</c:v>
                </c:pt>
                <c:pt idx="32">
                  <c:v>76</c:v>
                </c:pt>
                <c:pt idx="33">
                  <c:v>137</c:v>
                </c:pt>
                <c:pt idx="34">
                  <c:v>140</c:v>
                </c:pt>
                <c:pt idx="35">
                  <c:v>142</c:v>
                </c:pt>
                <c:pt idx="36">
                  <c:v>209</c:v>
                </c:pt>
                <c:pt idx="37">
                  <c:v>270</c:v>
                </c:pt>
                <c:pt idx="38">
                  <c:v>482</c:v>
                </c:pt>
                <c:pt idx="39">
                  <c:v>539</c:v>
                </c:pt>
                <c:pt idx="40">
                  <c:v>584</c:v>
                </c:pt>
                <c:pt idx="41">
                  <c:v>655</c:v>
                </c:pt>
                <c:pt idx="42">
                  <c:v>844</c:v>
                </c:pt>
                <c:pt idx="43">
                  <c:v>865</c:v>
                </c:pt>
                <c:pt idx="44">
                  <c:v>997</c:v>
                </c:pt>
                <c:pt idx="45">
                  <c:v>1122</c:v>
                </c:pt>
                <c:pt idx="46">
                  <c:v>1134</c:v>
                </c:pt>
                <c:pt idx="47">
                  <c:v>1134</c:v>
                </c:pt>
                <c:pt idx="48">
                  <c:v>1517</c:v>
                </c:pt>
                <c:pt idx="49">
                  <c:v>1517</c:v>
                </c:pt>
                <c:pt idx="50">
                  <c:v>137</c:v>
                </c:pt>
                <c:pt idx="51">
                  <c:v>1793</c:v>
                </c:pt>
                <c:pt idx="52">
                  <c:v>1909</c:v>
                </c:pt>
                <c:pt idx="53">
                  <c:v>1913</c:v>
                </c:pt>
                <c:pt idx="54">
                  <c:v>2048</c:v>
                </c:pt>
                <c:pt idx="55">
                  <c:v>2164</c:v>
                </c:pt>
                <c:pt idx="56">
                  <c:v>2185</c:v>
                </c:pt>
                <c:pt idx="57">
                  <c:v>2240</c:v>
                </c:pt>
                <c:pt idx="58">
                  <c:v>2298</c:v>
                </c:pt>
                <c:pt idx="59">
                  <c:v>2445</c:v>
                </c:pt>
                <c:pt idx="60">
                  <c:v>2639</c:v>
                </c:pt>
                <c:pt idx="61">
                  <c:v>3040</c:v>
                </c:pt>
                <c:pt idx="62">
                  <c:v>3097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61">
                  <c:v>-1.8739999999525025E-2</c:v>
                </c:pt>
                <c:pt idx="62">
                  <c:v>-2.2747000002709683E-2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0B0-4A6F-9306-170E904E77B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0">
                    <c:v>0</c:v>
                  </c:pt>
                  <c:pt idx="36">
                    <c:v>0</c:v>
                  </c:pt>
                  <c:pt idx="46">
                    <c:v>1.0999999999999999E-2</c:v>
                  </c:pt>
                  <c:pt idx="48">
                    <c:v>6.0000000000000001E-3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7.0000000000000001E-3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2.0999999999999999E-3</c:v>
                  </c:pt>
                  <c:pt idx="60">
                    <c:v>1.06E-2</c:v>
                  </c:pt>
                  <c:pt idx="61">
                    <c:v>8.0000000000000004E-4</c:v>
                  </c:pt>
                  <c:pt idx="62">
                    <c:v>2.5000000000000001E-3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0">
                    <c:v>0</c:v>
                  </c:pt>
                  <c:pt idx="36">
                    <c:v>0</c:v>
                  </c:pt>
                  <c:pt idx="46">
                    <c:v>1.0999999999999999E-2</c:v>
                  </c:pt>
                  <c:pt idx="48">
                    <c:v>6.0000000000000001E-3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7.0000000000000001E-3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2.0999999999999999E-3</c:v>
                  </c:pt>
                  <c:pt idx="60">
                    <c:v>1.06E-2</c:v>
                  </c:pt>
                  <c:pt idx="61">
                    <c:v>8.0000000000000004E-4</c:v>
                  </c:pt>
                  <c:pt idx="62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-3734</c:v>
                </c:pt>
                <c:pt idx="1">
                  <c:v>-2950</c:v>
                </c:pt>
                <c:pt idx="2">
                  <c:v>-2886</c:v>
                </c:pt>
                <c:pt idx="3">
                  <c:v>-2879</c:v>
                </c:pt>
                <c:pt idx="4">
                  <c:v>-2870</c:v>
                </c:pt>
                <c:pt idx="5">
                  <c:v>-2811</c:v>
                </c:pt>
                <c:pt idx="6">
                  <c:v>-2752</c:v>
                </c:pt>
                <c:pt idx="7">
                  <c:v>-2709</c:v>
                </c:pt>
                <c:pt idx="8">
                  <c:v>-2695</c:v>
                </c:pt>
                <c:pt idx="9">
                  <c:v>-2688</c:v>
                </c:pt>
                <c:pt idx="10">
                  <c:v>-2678</c:v>
                </c:pt>
                <c:pt idx="11">
                  <c:v>-2635</c:v>
                </c:pt>
                <c:pt idx="12">
                  <c:v>-2628</c:v>
                </c:pt>
                <c:pt idx="13">
                  <c:v>-2624</c:v>
                </c:pt>
                <c:pt idx="14">
                  <c:v>-2428</c:v>
                </c:pt>
                <c:pt idx="15">
                  <c:v>-2412</c:v>
                </c:pt>
                <c:pt idx="16">
                  <c:v>-2355</c:v>
                </c:pt>
                <c:pt idx="17">
                  <c:v>-2353</c:v>
                </c:pt>
                <c:pt idx="18">
                  <c:v>-2350</c:v>
                </c:pt>
                <c:pt idx="19">
                  <c:v>-2030</c:v>
                </c:pt>
                <c:pt idx="20">
                  <c:v>-1888</c:v>
                </c:pt>
                <c:pt idx="21">
                  <c:v>-1779</c:v>
                </c:pt>
                <c:pt idx="22">
                  <c:v>-1753</c:v>
                </c:pt>
                <c:pt idx="23">
                  <c:v>-1710</c:v>
                </c:pt>
                <c:pt idx="24">
                  <c:v>-1687</c:v>
                </c:pt>
                <c:pt idx="25">
                  <c:v>-1626</c:v>
                </c:pt>
                <c:pt idx="26">
                  <c:v>-1583</c:v>
                </c:pt>
                <c:pt idx="27">
                  <c:v>-1094</c:v>
                </c:pt>
                <c:pt idx="28">
                  <c:v>-18</c:v>
                </c:pt>
                <c:pt idx="29">
                  <c:v>19</c:v>
                </c:pt>
                <c:pt idx="30">
                  <c:v>62</c:v>
                </c:pt>
                <c:pt idx="31">
                  <c:v>76</c:v>
                </c:pt>
                <c:pt idx="32">
                  <c:v>76</c:v>
                </c:pt>
                <c:pt idx="33">
                  <c:v>137</c:v>
                </c:pt>
                <c:pt idx="34">
                  <c:v>140</c:v>
                </c:pt>
                <c:pt idx="35">
                  <c:v>142</c:v>
                </c:pt>
                <c:pt idx="36">
                  <c:v>209</c:v>
                </c:pt>
                <c:pt idx="37">
                  <c:v>270</c:v>
                </c:pt>
                <c:pt idx="38">
                  <c:v>482</c:v>
                </c:pt>
                <c:pt idx="39">
                  <c:v>539</c:v>
                </c:pt>
                <c:pt idx="40">
                  <c:v>584</c:v>
                </c:pt>
                <c:pt idx="41">
                  <c:v>655</c:v>
                </c:pt>
                <c:pt idx="42">
                  <c:v>844</c:v>
                </c:pt>
                <c:pt idx="43">
                  <c:v>865</c:v>
                </c:pt>
                <c:pt idx="44">
                  <c:v>997</c:v>
                </c:pt>
                <c:pt idx="45">
                  <c:v>1122</c:v>
                </c:pt>
                <c:pt idx="46">
                  <c:v>1134</c:v>
                </c:pt>
                <c:pt idx="47">
                  <c:v>1134</c:v>
                </c:pt>
                <c:pt idx="48">
                  <c:v>1517</c:v>
                </c:pt>
                <c:pt idx="49">
                  <c:v>1517</c:v>
                </c:pt>
                <c:pt idx="50">
                  <c:v>137</c:v>
                </c:pt>
                <c:pt idx="51">
                  <c:v>1793</c:v>
                </c:pt>
                <c:pt idx="52">
                  <c:v>1909</c:v>
                </c:pt>
                <c:pt idx="53">
                  <c:v>1913</c:v>
                </c:pt>
                <c:pt idx="54">
                  <c:v>2048</c:v>
                </c:pt>
                <c:pt idx="55">
                  <c:v>2164</c:v>
                </c:pt>
                <c:pt idx="56">
                  <c:v>2185</c:v>
                </c:pt>
                <c:pt idx="57">
                  <c:v>2240</c:v>
                </c:pt>
                <c:pt idx="58">
                  <c:v>2298</c:v>
                </c:pt>
                <c:pt idx="59">
                  <c:v>2445</c:v>
                </c:pt>
                <c:pt idx="60">
                  <c:v>2639</c:v>
                </c:pt>
                <c:pt idx="61">
                  <c:v>3040</c:v>
                </c:pt>
                <c:pt idx="62">
                  <c:v>3097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0B0-4A6F-9306-170E904E77B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0">
                    <c:v>0</c:v>
                  </c:pt>
                  <c:pt idx="36">
                    <c:v>0</c:v>
                  </c:pt>
                  <c:pt idx="46">
                    <c:v>1.0999999999999999E-2</c:v>
                  </c:pt>
                  <c:pt idx="48">
                    <c:v>6.0000000000000001E-3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7.0000000000000001E-3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2.0999999999999999E-3</c:v>
                  </c:pt>
                  <c:pt idx="60">
                    <c:v>1.06E-2</c:v>
                  </c:pt>
                  <c:pt idx="61">
                    <c:v>8.0000000000000004E-4</c:v>
                  </c:pt>
                  <c:pt idx="62">
                    <c:v>2.5000000000000001E-3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0">
                    <c:v>0</c:v>
                  </c:pt>
                  <c:pt idx="36">
                    <c:v>0</c:v>
                  </c:pt>
                  <c:pt idx="46">
                    <c:v>1.0999999999999999E-2</c:v>
                  </c:pt>
                  <c:pt idx="48">
                    <c:v>6.0000000000000001E-3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7.0000000000000001E-3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2.0999999999999999E-3</c:v>
                  </c:pt>
                  <c:pt idx="60">
                    <c:v>1.06E-2</c:v>
                  </c:pt>
                  <c:pt idx="61">
                    <c:v>8.0000000000000004E-4</c:v>
                  </c:pt>
                  <c:pt idx="62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-3734</c:v>
                </c:pt>
                <c:pt idx="1">
                  <c:v>-2950</c:v>
                </c:pt>
                <c:pt idx="2">
                  <c:v>-2886</c:v>
                </c:pt>
                <c:pt idx="3">
                  <c:v>-2879</c:v>
                </c:pt>
                <c:pt idx="4">
                  <c:v>-2870</c:v>
                </c:pt>
                <c:pt idx="5">
                  <c:v>-2811</c:v>
                </c:pt>
                <c:pt idx="6">
                  <c:v>-2752</c:v>
                </c:pt>
                <c:pt idx="7">
                  <c:v>-2709</c:v>
                </c:pt>
                <c:pt idx="8">
                  <c:v>-2695</c:v>
                </c:pt>
                <c:pt idx="9">
                  <c:v>-2688</c:v>
                </c:pt>
                <c:pt idx="10">
                  <c:v>-2678</c:v>
                </c:pt>
                <c:pt idx="11">
                  <c:v>-2635</c:v>
                </c:pt>
                <c:pt idx="12">
                  <c:v>-2628</c:v>
                </c:pt>
                <c:pt idx="13">
                  <c:v>-2624</c:v>
                </c:pt>
                <c:pt idx="14">
                  <c:v>-2428</c:v>
                </c:pt>
                <c:pt idx="15">
                  <c:v>-2412</c:v>
                </c:pt>
                <c:pt idx="16">
                  <c:v>-2355</c:v>
                </c:pt>
                <c:pt idx="17">
                  <c:v>-2353</c:v>
                </c:pt>
                <c:pt idx="18">
                  <c:v>-2350</c:v>
                </c:pt>
                <c:pt idx="19">
                  <c:v>-2030</c:v>
                </c:pt>
                <c:pt idx="20">
                  <c:v>-1888</c:v>
                </c:pt>
                <c:pt idx="21">
                  <c:v>-1779</c:v>
                </c:pt>
                <c:pt idx="22">
                  <c:v>-1753</c:v>
                </c:pt>
                <c:pt idx="23">
                  <c:v>-1710</c:v>
                </c:pt>
                <c:pt idx="24">
                  <c:v>-1687</c:v>
                </c:pt>
                <c:pt idx="25">
                  <c:v>-1626</c:v>
                </c:pt>
                <c:pt idx="26">
                  <c:v>-1583</c:v>
                </c:pt>
                <c:pt idx="27">
                  <c:v>-1094</c:v>
                </c:pt>
                <c:pt idx="28">
                  <c:v>-18</c:v>
                </c:pt>
                <c:pt idx="29">
                  <c:v>19</c:v>
                </c:pt>
                <c:pt idx="30">
                  <c:v>62</c:v>
                </c:pt>
                <c:pt idx="31">
                  <c:v>76</c:v>
                </c:pt>
                <c:pt idx="32">
                  <c:v>76</c:v>
                </c:pt>
                <c:pt idx="33">
                  <c:v>137</c:v>
                </c:pt>
                <c:pt idx="34">
                  <c:v>140</c:v>
                </c:pt>
                <c:pt idx="35">
                  <c:v>142</c:v>
                </c:pt>
                <c:pt idx="36">
                  <c:v>209</c:v>
                </c:pt>
                <c:pt idx="37">
                  <c:v>270</c:v>
                </c:pt>
                <c:pt idx="38">
                  <c:v>482</c:v>
                </c:pt>
                <c:pt idx="39">
                  <c:v>539</c:v>
                </c:pt>
                <c:pt idx="40">
                  <c:v>584</c:v>
                </c:pt>
                <c:pt idx="41">
                  <c:v>655</c:v>
                </c:pt>
                <c:pt idx="42">
                  <c:v>844</c:v>
                </c:pt>
                <c:pt idx="43">
                  <c:v>865</c:v>
                </c:pt>
                <c:pt idx="44">
                  <c:v>997</c:v>
                </c:pt>
                <c:pt idx="45">
                  <c:v>1122</c:v>
                </c:pt>
                <c:pt idx="46">
                  <c:v>1134</c:v>
                </c:pt>
                <c:pt idx="47">
                  <c:v>1134</c:v>
                </c:pt>
                <c:pt idx="48">
                  <c:v>1517</c:v>
                </c:pt>
                <c:pt idx="49">
                  <c:v>1517</c:v>
                </c:pt>
                <c:pt idx="50">
                  <c:v>137</c:v>
                </c:pt>
                <c:pt idx="51">
                  <c:v>1793</c:v>
                </c:pt>
                <c:pt idx="52">
                  <c:v>1909</c:v>
                </c:pt>
                <c:pt idx="53">
                  <c:v>1913</c:v>
                </c:pt>
                <c:pt idx="54">
                  <c:v>2048</c:v>
                </c:pt>
                <c:pt idx="55">
                  <c:v>2164</c:v>
                </c:pt>
                <c:pt idx="56">
                  <c:v>2185</c:v>
                </c:pt>
                <c:pt idx="57">
                  <c:v>2240</c:v>
                </c:pt>
                <c:pt idx="58">
                  <c:v>2298</c:v>
                </c:pt>
                <c:pt idx="59">
                  <c:v>2445</c:v>
                </c:pt>
                <c:pt idx="60">
                  <c:v>2639</c:v>
                </c:pt>
                <c:pt idx="61">
                  <c:v>3040</c:v>
                </c:pt>
                <c:pt idx="62">
                  <c:v>3097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0B0-4A6F-9306-170E904E77B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0">
                    <c:v>0</c:v>
                  </c:pt>
                  <c:pt idx="36">
                    <c:v>0</c:v>
                  </c:pt>
                  <c:pt idx="46">
                    <c:v>1.0999999999999999E-2</c:v>
                  </c:pt>
                  <c:pt idx="48">
                    <c:v>6.0000000000000001E-3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7.0000000000000001E-3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2.0999999999999999E-3</c:v>
                  </c:pt>
                  <c:pt idx="60">
                    <c:v>1.06E-2</c:v>
                  </c:pt>
                  <c:pt idx="61">
                    <c:v>8.0000000000000004E-4</c:v>
                  </c:pt>
                  <c:pt idx="62">
                    <c:v>2.5000000000000001E-3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0">
                    <c:v>0</c:v>
                  </c:pt>
                  <c:pt idx="36">
                    <c:v>0</c:v>
                  </c:pt>
                  <c:pt idx="46">
                    <c:v>1.0999999999999999E-2</c:v>
                  </c:pt>
                  <c:pt idx="48">
                    <c:v>6.0000000000000001E-3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7.0000000000000001E-3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5.9999999999999995E-4</c:v>
                  </c:pt>
                  <c:pt idx="58">
                    <c:v>6.9999999999999999E-4</c:v>
                  </c:pt>
                  <c:pt idx="59">
                    <c:v>2.0999999999999999E-3</c:v>
                  </c:pt>
                  <c:pt idx="60">
                    <c:v>1.06E-2</c:v>
                  </c:pt>
                  <c:pt idx="61">
                    <c:v>8.0000000000000004E-4</c:v>
                  </c:pt>
                  <c:pt idx="62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-3734</c:v>
                </c:pt>
                <c:pt idx="1">
                  <c:v>-2950</c:v>
                </c:pt>
                <c:pt idx="2">
                  <c:v>-2886</c:v>
                </c:pt>
                <c:pt idx="3">
                  <c:v>-2879</c:v>
                </c:pt>
                <c:pt idx="4">
                  <c:v>-2870</c:v>
                </c:pt>
                <c:pt idx="5">
                  <c:v>-2811</c:v>
                </c:pt>
                <c:pt idx="6">
                  <c:v>-2752</c:v>
                </c:pt>
                <c:pt idx="7">
                  <c:v>-2709</c:v>
                </c:pt>
                <c:pt idx="8">
                  <c:v>-2695</c:v>
                </c:pt>
                <c:pt idx="9">
                  <c:v>-2688</c:v>
                </c:pt>
                <c:pt idx="10">
                  <c:v>-2678</c:v>
                </c:pt>
                <c:pt idx="11">
                  <c:v>-2635</c:v>
                </c:pt>
                <c:pt idx="12">
                  <c:v>-2628</c:v>
                </c:pt>
                <c:pt idx="13">
                  <c:v>-2624</c:v>
                </c:pt>
                <c:pt idx="14">
                  <c:v>-2428</c:v>
                </c:pt>
                <c:pt idx="15">
                  <c:v>-2412</c:v>
                </c:pt>
                <c:pt idx="16">
                  <c:v>-2355</c:v>
                </c:pt>
                <c:pt idx="17">
                  <c:v>-2353</c:v>
                </c:pt>
                <c:pt idx="18">
                  <c:v>-2350</c:v>
                </c:pt>
                <c:pt idx="19">
                  <c:v>-2030</c:v>
                </c:pt>
                <c:pt idx="20">
                  <c:v>-1888</c:v>
                </c:pt>
                <c:pt idx="21">
                  <c:v>-1779</c:v>
                </c:pt>
                <c:pt idx="22">
                  <c:v>-1753</c:v>
                </c:pt>
                <c:pt idx="23">
                  <c:v>-1710</c:v>
                </c:pt>
                <c:pt idx="24">
                  <c:v>-1687</c:v>
                </c:pt>
                <c:pt idx="25">
                  <c:v>-1626</c:v>
                </c:pt>
                <c:pt idx="26">
                  <c:v>-1583</c:v>
                </c:pt>
                <c:pt idx="27">
                  <c:v>-1094</c:v>
                </c:pt>
                <c:pt idx="28">
                  <c:v>-18</c:v>
                </c:pt>
                <c:pt idx="29">
                  <c:v>19</c:v>
                </c:pt>
                <c:pt idx="30">
                  <c:v>62</c:v>
                </c:pt>
                <c:pt idx="31">
                  <c:v>76</c:v>
                </c:pt>
                <c:pt idx="32">
                  <c:v>76</c:v>
                </c:pt>
                <c:pt idx="33">
                  <c:v>137</c:v>
                </c:pt>
                <c:pt idx="34">
                  <c:v>140</c:v>
                </c:pt>
                <c:pt idx="35">
                  <c:v>142</c:v>
                </c:pt>
                <c:pt idx="36">
                  <c:v>209</c:v>
                </c:pt>
                <c:pt idx="37">
                  <c:v>270</c:v>
                </c:pt>
                <c:pt idx="38">
                  <c:v>482</c:v>
                </c:pt>
                <c:pt idx="39">
                  <c:v>539</c:v>
                </c:pt>
                <c:pt idx="40">
                  <c:v>584</c:v>
                </c:pt>
                <c:pt idx="41">
                  <c:v>655</c:v>
                </c:pt>
                <c:pt idx="42">
                  <c:v>844</c:v>
                </c:pt>
                <c:pt idx="43">
                  <c:v>865</c:v>
                </c:pt>
                <c:pt idx="44">
                  <c:v>997</c:v>
                </c:pt>
                <c:pt idx="45">
                  <c:v>1122</c:v>
                </c:pt>
                <c:pt idx="46">
                  <c:v>1134</c:v>
                </c:pt>
                <c:pt idx="47">
                  <c:v>1134</c:v>
                </c:pt>
                <c:pt idx="48">
                  <c:v>1517</c:v>
                </c:pt>
                <c:pt idx="49">
                  <c:v>1517</c:v>
                </c:pt>
                <c:pt idx="50">
                  <c:v>137</c:v>
                </c:pt>
                <c:pt idx="51">
                  <c:v>1793</c:v>
                </c:pt>
                <c:pt idx="52">
                  <c:v>1909</c:v>
                </c:pt>
                <c:pt idx="53">
                  <c:v>1913</c:v>
                </c:pt>
                <c:pt idx="54">
                  <c:v>2048</c:v>
                </c:pt>
                <c:pt idx="55">
                  <c:v>2164</c:v>
                </c:pt>
                <c:pt idx="56">
                  <c:v>2185</c:v>
                </c:pt>
                <c:pt idx="57">
                  <c:v>2240</c:v>
                </c:pt>
                <c:pt idx="58">
                  <c:v>2298</c:v>
                </c:pt>
                <c:pt idx="59">
                  <c:v>2445</c:v>
                </c:pt>
                <c:pt idx="60">
                  <c:v>2639</c:v>
                </c:pt>
                <c:pt idx="61">
                  <c:v>3040</c:v>
                </c:pt>
                <c:pt idx="62">
                  <c:v>3097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  <c:pt idx="54">
                  <c:v>-6.9047999997565057E-2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0B0-4A6F-9306-170E904E77B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-3734</c:v>
                </c:pt>
                <c:pt idx="1">
                  <c:v>-2950</c:v>
                </c:pt>
                <c:pt idx="2">
                  <c:v>-2886</c:v>
                </c:pt>
                <c:pt idx="3">
                  <c:v>-2879</c:v>
                </c:pt>
                <c:pt idx="4">
                  <c:v>-2870</c:v>
                </c:pt>
                <c:pt idx="5">
                  <c:v>-2811</c:v>
                </c:pt>
                <c:pt idx="6">
                  <c:v>-2752</c:v>
                </c:pt>
                <c:pt idx="7">
                  <c:v>-2709</c:v>
                </c:pt>
                <c:pt idx="8">
                  <c:v>-2695</c:v>
                </c:pt>
                <c:pt idx="9">
                  <c:v>-2688</c:v>
                </c:pt>
                <c:pt idx="10">
                  <c:v>-2678</c:v>
                </c:pt>
                <c:pt idx="11">
                  <c:v>-2635</c:v>
                </c:pt>
                <c:pt idx="12">
                  <c:v>-2628</c:v>
                </c:pt>
                <c:pt idx="13">
                  <c:v>-2624</c:v>
                </c:pt>
                <c:pt idx="14">
                  <c:v>-2428</c:v>
                </c:pt>
                <c:pt idx="15">
                  <c:v>-2412</c:v>
                </c:pt>
                <c:pt idx="16">
                  <c:v>-2355</c:v>
                </c:pt>
                <c:pt idx="17">
                  <c:v>-2353</c:v>
                </c:pt>
                <c:pt idx="18">
                  <c:v>-2350</c:v>
                </c:pt>
                <c:pt idx="19">
                  <c:v>-2030</c:v>
                </c:pt>
                <c:pt idx="20">
                  <c:v>-1888</c:v>
                </c:pt>
                <c:pt idx="21">
                  <c:v>-1779</c:v>
                </c:pt>
                <c:pt idx="22">
                  <c:v>-1753</c:v>
                </c:pt>
                <c:pt idx="23">
                  <c:v>-1710</c:v>
                </c:pt>
                <c:pt idx="24">
                  <c:v>-1687</c:v>
                </c:pt>
                <c:pt idx="25">
                  <c:v>-1626</c:v>
                </c:pt>
                <c:pt idx="26">
                  <c:v>-1583</c:v>
                </c:pt>
                <c:pt idx="27">
                  <c:v>-1094</c:v>
                </c:pt>
                <c:pt idx="28">
                  <c:v>-18</c:v>
                </c:pt>
                <c:pt idx="29">
                  <c:v>19</c:v>
                </c:pt>
                <c:pt idx="30">
                  <c:v>62</c:v>
                </c:pt>
                <c:pt idx="31">
                  <c:v>76</c:v>
                </c:pt>
                <c:pt idx="32">
                  <c:v>76</c:v>
                </c:pt>
                <c:pt idx="33">
                  <c:v>137</c:v>
                </c:pt>
                <c:pt idx="34">
                  <c:v>140</c:v>
                </c:pt>
                <c:pt idx="35">
                  <c:v>142</c:v>
                </c:pt>
                <c:pt idx="36">
                  <c:v>209</c:v>
                </c:pt>
                <c:pt idx="37">
                  <c:v>270</c:v>
                </c:pt>
                <c:pt idx="38">
                  <c:v>482</c:v>
                </c:pt>
                <c:pt idx="39">
                  <c:v>539</c:v>
                </c:pt>
                <c:pt idx="40">
                  <c:v>584</c:v>
                </c:pt>
                <c:pt idx="41">
                  <c:v>655</c:v>
                </c:pt>
                <c:pt idx="42">
                  <c:v>844</c:v>
                </c:pt>
                <c:pt idx="43">
                  <c:v>865</c:v>
                </c:pt>
                <c:pt idx="44">
                  <c:v>997</c:v>
                </c:pt>
                <c:pt idx="45">
                  <c:v>1122</c:v>
                </c:pt>
                <c:pt idx="46">
                  <c:v>1134</c:v>
                </c:pt>
                <c:pt idx="47">
                  <c:v>1134</c:v>
                </c:pt>
                <c:pt idx="48">
                  <c:v>1517</c:v>
                </c:pt>
                <c:pt idx="49">
                  <c:v>1517</c:v>
                </c:pt>
                <c:pt idx="50">
                  <c:v>137</c:v>
                </c:pt>
                <c:pt idx="51">
                  <c:v>1793</c:v>
                </c:pt>
                <c:pt idx="52">
                  <c:v>1909</c:v>
                </c:pt>
                <c:pt idx="53">
                  <c:v>1913</c:v>
                </c:pt>
                <c:pt idx="54">
                  <c:v>2048</c:v>
                </c:pt>
                <c:pt idx="55">
                  <c:v>2164</c:v>
                </c:pt>
                <c:pt idx="56">
                  <c:v>2185</c:v>
                </c:pt>
                <c:pt idx="57">
                  <c:v>2240</c:v>
                </c:pt>
                <c:pt idx="58">
                  <c:v>2298</c:v>
                </c:pt>
                <c:pt idx="59">
                  <c:v>2445</c:v>
                </c:pt>
                <c:pt idx="60">
                  <c:v>2639</c:v>
                </c:pt>
                <c:pt idx="61">
                  <c:v>3040</c:v>
                </c:pt>
                <c:pt idx="62">
                  <c:v>3097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51">
                  <c:v>-8.6536542157147442E-2</c:v>
                </c:pt>
                <c:pt idx="52">
                  <c:v>-8.1069313322236283E-2</c:v>
                </c:pt>
                <c:pt idx="53">
                  <c:v>-8.0880788189997957E-2</c:v>
                </c:pt>
                <c:pt idx="54">
                  <c:v>-7.451806497695479E-2</c:v>
                </c:pt>
                <c:pt idx="55">
                  <c:v>-6.9050836142043617E-2</c:v>
                </c:pt>
                <c:pt idx="56">
                  <c:v>-6.806107919779246E-2</c:v>
                </c:pt>
                <c:pt idx="57">
                  <c:v>-6.5468858629515611E-2</c:v>
                </c:pt>
                <c:pt idx="58">
                  <c:v>-6.2735244212060032E-2</c:v>
                </c:pt>
                <c:pt idx="59">
                  <c:v>-5.5806945602301899E-2</c:v>
                </c:pt>
                <c:pt idx="60">
                  <c:v>-4.6663476688743571E-2</c:v>
                </c:pt>
                <c:pt idx="61">
                  <c:v>-2.7763832181852383E-2</c:v>
                </c:pt>
                <c:pt idx="62">
                  <c:v>-2.5077349047456371E-2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0B0-4A6F-9306-170E904E77BE}"/>
            </c:ext>
          </c:extLst>
        </c:ser>
        <c:ser>
          <c:idx val="8"/>
          <c:order val="8"/>
          <c:tx>
            <c:strRef>
              <c:f>Active!$T$1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Active!$S$2:$S$18</c:f>
              <c:numCache>
                <c:formatCode>General</c:formatCode>
                <c:ptCount val="17"/>
                <c:pt idx="0">
                  <c:v>-250</c:v>
                </c:pt>
                <c:pt idx="1">
                  <c:v>0</c:v>
                </c:pt>
                <c:pt idx="2">
                  <c:v>250</c:v>
                </c:pt>
                <c:pt idx="3">
                  <c:v>500</c:v>
                </c:pt>
                <c:pt idx="4">
                  <c:v>750</c:v>
                </c:pt>
                <c:pt idx="5">
                  <c:v>1000</c:v>
                </c:pt>
                <c:pt idx="6">
                  <c:v>1250</c:v>
                </c:pt>
                <c:pt idx="7">
                  <c:v>1500</c:v>
                </c:pt>
                <c:pt idx="8">
                  <c:v>1750</c:v>
                </c:pt>
                <c:pt idx="9">
                  <c:v>2000</c:v>
                </c:pt>
                <c:pt idx="10">
                  <c:v>2250</c:v>
                </c:pt>
                <c:pt idx="11">
                  <c:v>2500</c:v>
                </c:pt>
                <c:pt idx="12">
                  <c:v>2750</c:v>
                </c:pt>
                <c:pt idx="13">
                  <c:v>3000</c:v>
                </c:pt>
                <c:pt idx="14">
                  <c:v>3250</c:v>
                </c:pt>
              </c:numCache>
            </c:numRef>
          </c:xVal>
          <c:yVal>
            <c:numRef>
              <c:f>Active!$T$2:$T$18</c:f>
              <c:numCache>
                <c:formatCode>General</c:formatCode>
                <c:ptCount val="17"/>
                <c:pt idx="0">
                  <c:v>3.0174838015085186E-2</c:v>
                </c:pt>
                <c:pt idx="1">
                  <c:v>1.0488730869725193E-2</c:v>
                </c:pt>
                <c:pt idx="2">
                  <c:v>-7.0684302453647499E-3</c:v>
                </c:pt>
                <c:pt idx="3">
                  <c:v>-2.2496645330184646E-2</c:v>
                </c:pt>
                <c:pt idx="4">
                  <c:v>-3.5795914384734485E-2</c:v>
                </c:pt>
                <c:pt idx="5">
                  <c:v>-4.6966237409014282E-2</c:v>
                </c:pt>
                <c:pt idx="6">
                  <c:v>-5.6007614403024028E-2</c:v>
                </c:pt>
                <c:pt idx="7">
                  <c:v>-6.2920045366763724E-2</c:v>
                </c:pt>
                <c:pt idx="8">
                  <c:v>-6.7703530300233378E-2</c:v>
                </c:pt>
                <c:pt idx="9">
                  <c:v>-7.0358069203432988E-2</c:v>
                </c:pt>
                <c:pt idx="10">
                  <c:v>-7.0883662076362527E-2</c:v>
                </c:pt>
                <c:pt idx="11">
                  <c:v>-6.9280308919022024E-2</c:v>
                </c:pt>
                <c:pt idx="12">
                  <c:v>-6.5548009731411477E-2</c:v>
                </c:pt>
                <c:pt idx="13">
                  <c:v>-5.9686764513530888E-2</c:v>
                </c:pt>
                <c:pt idx="14">
                  <c:v>-5.1696573265380241E-2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0B0-4A6F-9306-170E904E77BE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-3734</c:v>
                </c:pt>
                <c:pt idx="1">
                  <c:v>-2950</c:v>
                </c:pt>
                <c:pt idx="2">
                  <c:v>-2886</c:v>
                </c:pt>
                <c:pt idx="3">
                  <c:v>-2879</c:v>
                </c:pt>
                <c:pt idx="4">
                  <c:v>-2870</c:v>
                </c:pt>
                <c:pt idx="5">
                  <c:v>-2811</c:v>
                </c:pt>
                <c:pt idx="6">
                  <c:v>-2752</c:v>
                </c:pt>
                <c:pt idx="7">
                  <c:v>-2709</c:v>
                </c:pt>
                <c:pt idx="8">
                  <c:v>-2695</c:v>
                </c:pt>
                <c:pt idx="9">
                  <c:v>-2688</c:v>
                </c:pt>
                <c:pt idx="10">
                  <c:v>-2678</c:v>
                </c:pt>
                <c:pt idx="11">
                  <c:v>-2635</c:v>
                </c:pt>
                <c:pt idx="12">
                  <c:v>-2628</c:v>
                </c:pt>
                <c:pt idx="13">
                  <c:v>-2624</c:v>
                </c:pt>
                <c:pt idx="14">
                  <c:v>-2428</c:v>
                </c:pt>
                <c:pt idx="15">
                  <c:v>-2412</c:v>
                </c:pt>
                <c:pt idx="16">
                  <c:v>-2355</c:v>
                </c:pt>
                <c:pt idx="17">
                  <c:v>-2353</c:v>
                </c:pt>
                <c:pt idx="18">
                  <c:v>-2350</c:v>
                </c:pt>
                <c:pt idx="19">
                  <c:v>-2030</c:v>
                </c:pt>
                <c:pt idx="20">
                  <c:v>-1888</c:v>
                </c:pt>
                <c:pt idx="21">
                  <c:v>-1779</c:v>
                </c:pt>
                <c:pt idx="22">
                  <c:v>-1753</c:v>
                </c:pt>
                <c:pt idx="23">
                  <c:v>-1710</c:v>
                </c:pt>
                <c:pt idx="24">
                  <c:v>-1687</c:v>
                </c:pt>
                <c:pt idx="25">
                  <c:v>-1626</c:v>
                </c:pt>
                <c:pt idx="26">
                  <c:v>-1583</c:v>
                </c:pt>
                <c:pt idx="27">
                  <c:v>-1094</c:v>
                </c:pt>
                <c:pt idx="28">
                  <c:v>-18</c:v>
                </c:pt>
                <c:pt idx="29">
                  <c:v>19</c:v>
                </c:pt>
                <c:pt idx="30">
                  <c:v>62</c:v>
                </c:pt>
                <c:pt idx="31">
                  <c:v>76</c:v>
                </c:pt>
                <c:pt idx="32">
                  <c:v>76</c:v>
                </c:pt>
                <c:pt idx="33">
                  <c:v>137</c:v>
                </c:pt>
                <c:pt idx="34">
                  <c:v>140</c:v>
                </c:pt>
                <c:pt idx="35">
                  <c:v>142</c:v>
                </c:pt>
                <c:pt idx="36">
                  <c:v>209</c:v>
                </c:pt>
                <c:pt idx="37">
                  <c:v>270</c:v>
                </c:pt>
                <c:pt idx="38">
                  <c:v>482</c:v>
                </c:pt>
                <c:pt idx="39">
                  <c:v>539</c:v>
                </c:pt>
                <c:pt idx="40">
                  <c:v>584</c:v>
                </c:pt>
                <c:pt idx="41">
                  <c:v>655</c:v>
                </c:pt>
                <c:pt idx="42">
                  <c:v>844</c:v>
                </c:pt>
                <c:pt idx="43">
                  <c:v>865</c:v>
                </c:pt>
                <c:pt idx="44">
                  <c:v>997</c:v>
                </c:pt>
                <c:pt idx="45">
                  <c:v>1122</c:v>
                </c:pt>
                <c:pt idx="46">
                  <c:v>1134</c:v>
                </c:pt>
                <c:pt idx="47">
                  <c:v>1134</c:v>
                </c:pt>
                <c:pt idx="48">
                  <c:v>1517</c:v>
                </c:pt>
                <c:pt idx="49">
                  <c:v>1517</c:v>
                </c:pt>
                <c:pt idx="50">
                  <c:v>137</c:v>
                </c:pt>
                <c:pt idx="51">
                  <c:v>1793</c:v>
                </c:pt>
                <c:pt idx="52">
                  <c:v>1909</c:v>
                </c:pt>
                <c:pt idx="53">
                  <c:v>1913</c:v>
                </c:pt>
                <c:pt idx="54">
                  <c:v>2048</c:v>
                </c:pt>
                <c:pt idx="55">
                  <c:v>2164</c:v>
                </c:pt>
                <c:pt idx="56">
                  <c:v>2185</c:v>
                </c:pt>
                <c:pt idx="57">
                  <c:v>2240</c:v>
                </c:pt>
                <c:pt idx="58">
                  <c:v>2298</c:v>
                </c:pt>
                <c:pt idx="59">
                  <c:v>2445</c:v>
                </c:pt>
                <c:pt idx="60">
                  <c:v>2639</c:v>
                </c:pt>
                <c:pt idx="61">
                  <c:v>3040</c:v>
                </c:pt>
                <c:pt idx="62">
                  <c:v>3097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  <c:pt idx="2">
                  <c:v>0.12418599999728031</c:v>
                </c:pt>
                <c:pt idx="3">
                  <c:v>0.1110289999996894</c:v>
                </c:pt>
                <c:pt idx="6">
                  <c:v>-0.22524800000246614</c:v>
                </c:pt>
                <c:pt idx="7">
                  <c:v>-0.13664100000096369</c:v>
                </c:pt>
                <c:pt idx="8">
                  <c:v>-0.17995500000324682</c:v>
                </c:pt>
                <c:pt idx="10">
                  <c:v>0.16837799999848357</c:v>
                </c:pt>
                <c:pt idx="11">
                  <c:v>0.18498499999986961</c:v>
                </c:pt>
                <c:pt idx="45">
                  <c:v>-0.1284220000015921</c:v>
                </c:pt>
                <c:pt idx="53">
                  <c:v>-0.10216299999592593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0B0-4A6F-9306-170E904E7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8817776"/>
        <c:axId val="1"/>
      </c:scatterChart>
      <c:valAx>
        <c:axId val="758817776"/>
        <c:scaling>
          <c:orientation val="minMax"/>
          <c:max val="4000"/>
          <c:min val="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57807308970095"/>
              <c:y val="0.842731216461443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4"/>
          <c:min val="-0.1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495016611295678E-2"/>
              <c:y val="0.3738878634236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8177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299003322259136"/>
          <c:y val="0.92284991082346157"/>
          <c:w val="0.89036544850498334"/>
          <c:h val="5.9347181008902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TU Cnc -- O-C vs Cycle #</a:t>
            </a:r>
          </a:p>
        </c:rich>
      </c:tx>
      <c:layout>
        <c:manualLayout>
          <c:xMode val="edge"/>
          <c:yMode val="edge"/>
          <c:x val="0.38339489615080163"/>
          <c:y val="3.17460317460317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354198090990934E-2"/>
          <c:y val="0.11337893587668268"/>
          <c:w val="0.87057490863346665"/>
          <c:h val="0.74149824063350478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Q_fit!$D$21:$D$45</c:f>
              <c:numCache>
                <c:formatCode>General</c:formatCode>
                <c:ptCount val="25"/>
                <c:pt idx="0">
                  <c:v>0</c:v>
                </c:pt>
                <c:pt idx="1">
                  <c:v>-1.8E-3</c:v>
                </c:pt>
                <c:pt idx="2">
                  <c:v>1.9E-3</c:v>
                </c:pt>
                <c:pt idx="3">
                  <c:v>6.1999999999999998E-3</c:v>
                </c:pt>
                <c:pt idx="4">
                  <c:v>7.6E-3</c:v>
                </c:pt>
                <c:pt idx="5">
                  <c:v>7.6E-3</c:v>
                </c:pt>
                <c:pt idx="6">
                  <c:v>1.37E-2</c:v>
                </c:pt>
                <c:pt idx="7">
                  <c:v>1.4E-2</c:v>
                </c:pt>
                <c:pt idx="8">
                  <c:v>1.4200000000000001E-2</c:v>
                </c:pt>
                <c:pt idx="9">
                  <c:v>2.7E-2</c:v>
                </c:pt>
                <c:pt idx="10">
                  <c:v>4.82E-2</c:v>
                </c:pt>
                <c:pt idx="11">
                  <c:v>5.3900000000000003E-2</c:v>
                </c:pt>
                <c:pt idx="12">
                  <c:v>5.8400000000000001E-2</c:v>
                </c:pt>
                <c:pt idx="13">
                  <c:v>6.5500000000000003E-2</c:v>
                </c:pt>
                <c:pt idx="14">
                  <c:v>8.4400000000000003E-2</c:v>
                </c:pt>
                <c:pt idx="15">
                  <c:v>8.6499999999999994E-2</c:v>
                </c:pt>
                <c:pt idx="16">
                  <c:v>9.9699999999999997E-2</c:v>
                </c:pt>
                <c:pt idx="17">
                  <c:v>0.1134</c:v>
                </c:pt>
                <c:pt idx="18">
                  <c:v>0.1134</c:v>
                </c:pt>
                <c:pt idx="19">
                  <c:v>0.1517</c:v>
                </c:pt>
                <c:pt idx="20">
                  <c:v>0.1517</c:v>
                </c:pt>
                <c:pt idx="21">
                  <c:v>0.19089999999999999</c:v>
                </c:pt>
                <c:pt idx="22">
                  <c:v>0.2185</c:v>
                </c:pt>
                <c:pt idx="23">
                  <c:v>0.224</c:v>
                </c:pt>
                <c:pt idx="24">
                  <c:v>0.2298</c:v>
                </c:pt>
              </c:numCache>
            </c:numRef>
          </c:xVal>
          <c:yVal>
            <c:numRef>
              <c:f>Q_fit!$E$21:$E$45</c:f>
              <c:numCache>
                <c:formatCode>General</c:formatCode>
                <c:ptCount val="25"/>
                <c:pt idx="0">
                  <c:v>0</c:v>
                </c:pt>
                <c:pt idx="1">
                  <c:v>2.1718000003602356E-2</c:v>
                </c:pt>
                <c:pt idx="2">
                  <c:v>3.1000003218650818E-5</c:v>
                </c:pt>
                <c:pt idx="3">
                  <c:v>-2.7362000000721309E-2</c:v>
                </c:pt>
                <c:pt idx="4">
                  <c:v>6.3240000017685816E-3</c:v>
                </c:pt>
                <c:pt idx="5">
                  <c:v>3.6324000000604428E-2</c:v>
                </c:pt>
                <c:pt idx="6">
                  <c:v>-9.1870000032940879E-3</c:v>
                </c:pt>
                <c:pt idx="7">
                  <c:v>-5.5399999982910231E-3</c:v>
                </c:pt>
                <c:pt idx="8">
                  <c:v>-6.4420000053360127E-3</c:v>
                </c:pt>
                <c:pt idx="9">
                  <c:v>9.8300000026938505E-3</c:v>
                </c:pt>
                <c:pt idx="10">
                  <c:v>-1.2781999997969251E-2</c:v>
                </c:pt>
                <c:pt idx="11">
                  <c:v>-1.1488999996799976E-2</c:v>
                </c:pt>
                <c:pt idx="12">
                  <c:v>-2.0784000000276137E-2</c:v>
                </c:pt>
                <c:pt idx="13">
                  <c:v>-2.7804999997897539E-2</c:v>
                </c:pt>
                <c:pt idx="14">
                  <c:v>-1.8044000004010741E-2</c:v>
                </c:pt>
                <c:pt idx="15">
                  <c:v>-2.6515000005019829E-2</c:v>
                </c:pt>
                <c:pt idx="16">
                  <c:v>-7.2047000001475681E-2</c:v>
                </c:pt>
                <c:pt idx="17">
                  <c:v>-7.4833999999100342E-2</c:v>
                </c:pt>
                <c:pt idx="18">
                  <c:v>-6.4833999997063074E-2</c:v>
                </c:pt>
                <c:pt idx="19">
                  <c:v>-6.8566999994800426E-2</c:v>
                </c:pt>
                <c:pt idx="20">
                  <c:v>-5.756699999619741E-2</c:v>
                </c:pt>
                <c:pt idx="21">
                  <c:v>-7.0358999997552019E-2</c:v>
                </c:pt>
                <c:pt idx="22">
                  <c:v>-6.903500000044005E-2</c:v>
                </c:pt>
                <c:pt idx="23">
                  <c:v>-6.8840000007185154E-2</c:v>
                </c:pt>
                <c:pt idx="24">
                  <c:v>-6.7797999996400904E-2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F7-4E92-A1E8-3C5E8CFF05CA}"/>
            </c:ext>
          </c:extLst>
        </c:ser>
        <c:ser>
          <c:idx val="1"/>
          <c:order val="1"/>
          <c:tx>
            <c:strRef>
              <c:f>Q_fit!$K$20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Q_fit!$D$21:$D$45</c:f>
              <c:numCache>
                <c:formatCode>General</c:formatCode>
                <c:ptCount val="25"/>
                <c:pt idx="0">
                  <c:v>0</c:v>
                </c:pt>
                <c:pt idx="1">
                  <c:v>-1.8E-3</c:v>
                </c:pt>
                <c:pt idx="2">
                  <c:v>1.9E-3</c:v>
                </c:pt>
                <c:pt idx="3">
                  <c:v>6.1999999999999998E-3</c:v>
                </c:pt>
                <c:pt idx="4">
                  <c:v>7.6E-3</c:v>
                </c:pt>
                <c:pt idx="5">
                  <c:v>7.6E-3</c:v>
                </c:pt>
                <c:pt idx="6">
                  <c:v>1.37E-2</c:v>
                </c:pt>
                <c:pt idx="7">
                  <c:v>1.4E-2</c:v>
                </c:pt>
                <c:pt idx="8">
                  <c:v>1.4200000000000001E-2</c:v>
                </c:pt>
                <c:pt idx="9">
                  <c:v>2.7E-2</c:v>
                </c:pt>
                <c:pt idx="10">
                  <c:v>4.82E-2</c:v>
                </c:pt>
                <c:pt idx="11">
                  <c:v>5.3900000000000003E-2</c:v>
                </c:pt>
                <c:pt idx="12">
                  <c:v>5.8400000000000001E-2</c:v>
                </c:pt>
                <c:pt idx="13">
                  <c:v>6.5500000000000003E-2</c:v>
                </c:pt>
                <c:pt idx="14">
                  <c:v>8.4400000000000003E-2</c:v>
                </c:pt>
                <c:pt idx="15">
                  <c:v>8.6499999999999994E-2</c:v>
                </c:pt>
                <c:pt idx="16">
                  <c:v>9.9699999999999997E-2</c:v>
                </c:pt>
                <c:pt idx="17">
                  <c:v>0.1134</c:v>
                </c:pt>
                <c:pt idx="18">
                  <c:v>0.1134</c:v>
                </c:pt>
                <c:pt idx="19">
                  <c:v>0.1517</c:v>
                </c:pt>
                <c:pt idx="20">
                  <c:v>0.1517</c:v>
                </c:pt>
                <c:pt idx="21">
                  <c:v>0.19089999999999999</c:v>
                </c:pt>
                <c:pt idx="22">
                  <c:v>0.2185</c:v>
                </c:pt>
                <c:pt idx="23">
                  <c:v>0.224</c:v>
                </c:pt>
                <c:pt idx="24">
                  <c:v>0.2298</c:v>
                </c:pt>
              </c:numCache>
            </c:numRef>
          </c:xVal>
          <c:yVal>
            <c:numRef>
              <c:f>Q_fit!$K$21:$K$45</c:f>
              <c:numCache>
                <c:formatCode>General</c:formatCode>
                <c:ptCount val="25"/>
                <c:pt idx="0">
                  <c:v>9.3064904200266391E-3</c:v>
                </c:pt>
                <c:pt idx="1">
                  <c:v>1.0612630192057182E-2</c:v>
                </c:pt>
                <c:pt idx="2">
                  <c:v>7.939202900990535E-3</c:v>
                </c:pt>
                <c:pt idx="3">
                  <c:v>4.8881068506329076E-3</c:v>
                </c:pt>
                <c:pt idx="4">
                  <c:v>3.9076849599665158E-3</c:v>
                </c:pt>
                <c:pt idx="5">
                  <c:v>3.9076849599665158E-3</c:v>
                </c:pt>
                <c:pt idx="6">
                  <c:v>-2.8986273809733065E-4</c:v>
                </c:pt>
                <c:pt idx="7">
                  <c:v>-4.931817432153947E-4</c:v>
                </c:pt>
                <c:pt idx="8">
                  <c:v>-6.2856536293379758E-4</c:v>
                </c:pt>
                <c:pt idx="9">
                  <c:v>-9.0229105586967836E-3</c:v>
                </c:pt>
                <c:pt idx="10">
                  <c:v>-2.1755583125431292E-2</c:v>
                </c:pt>
                <c:pt idx="11">
                  <c:v>-2.4930007454691386E-2</c:v>
                </c:pt>
                <c:pt idx="12">
                  <c:v>-2.7361597809779706E-2</c:v>
                </c:pt>
                <c:pt idx="13">
                  <c:v>-3.106436782661598E-2</c:v>
                </c:pt>
                <c:pt idx="14">
                  <c:v>-4.0123083837512688E-2</c:v>
                </c:pt>
                <c:pt idx="15">
                  <c:v>-4.1057996629828744E-2</c:v>
                </c:pt>
                <c:pt idx="16">
                  <c:v>-4.6606641216714116E-2</c:v>
                </c:pt>
                <c:pt idx="17">
                  <c:v>-5.1767029108754095E-2</c:v>
                </c:pt>
                <c:pt idx="18">
                  <c:v>-5.1767029108754095E-2</c:v>
                </c:pt>
                <c:pt idx="19">
                  <c:v>-6.2959481325013944E-2</c:v>
                </c:pt>
                <c:pt idx="20">
                  <c:v>-6.2959481325013944E-2</c:v>
                </c:pt>
                <c:pt idx="21">
                  <c:v>-6.9481724944054954E-2</c:v>
                </c:pt>
                <c:pt idx="22">
                  <c:v>-7.1080081197031922E-2</c:v>
                </c:pt>
                <c:pt idx="23">
                  <c:v>-7.1102974704189206E-2</c:v>
                </c:pt>
                <c:pt idx="24">
                  <c:v>-7.1020690675289669E-2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F7-4E92-A1E8-3C5E8CFF0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8814168"/>
        <c:axId val="1"/>
      </c:scatterChart>
      <c:valAx>
        <c:axId val="758814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69841346754732581"/>
              <c:y val="0.920637063224239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6.105006105006105E-3"/>
              <c:y val="0.448980544098654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814168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1868170324863238"/>
          <c:y val="0.92743978431267515"/>
          <c:w val="0.46153897429487978"/>
          <c:h val="0.9795939793240130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76201</xdr:colOff>
      <xdr:row>0</xdr:row>
      <xdr:rowOff>0</xdr:rowOff>
    </xdr:from>
    <xdr:to>
      <xdr:col>27</xdr:col>
      <xdr:colOff>247651</xdr:colOff>
      <xdr:row>18</xdr:row>
      <xdr:rowOff>57150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3D960771-9C10-058B-1E6F-C157E9382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323849</xdr:colOff>
      <xdr:row>0</xdr:row>
      <xdr:rowOff>28575</xdr:rowOff>
    </xdr:from>
    <xdr:to>
      <xdr:col>17</xdr:col>
      <xdr:colOff>600074</xdr:colOff>
      <xdr:row>18</xdr:row>
      <xdr:rowOff>66675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FA5EFBEA-C1AA-3729-AA57-1584556000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0</xdr:row>
      <xdr:rowOff>0</xdr:rowOff>
    </xdr:from>
    <xdr:to>
      <xdr:col>20</xdr:col>
      <xdr:colOff>533400</xdr:colOff>
      <xdr:row>25</xdr:row>
      <xdr:rowOff>38100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7D537E4E-CD58-04C1-A3F2-ED703360D0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20" TargetMode="External"/><Relationship Id="rId3" Type="http://schemas.openxmlformats.org/officeDocument/2006/relationships/hyperlink" Target="http://www.bav-astro.de/sfs/BAVM_link.php?BAVMnr=174" TargetMode="External"/><Relationship Id="rId7" Type="http://schemas.openxmlformats.org/officeDocument/2006/relationships/hyperlink" Target="http://www.konkoly.hu/cgi-bin/IBVS?5871" TargetMode="External"/><Relationship Id="rId2" Type="http://schemas.openxmlformats.org/officeDocument/2006/relationships/hyperlink" Target="http://www.bav-astro.de/sfs/BAVM_link.php?BAVMnr=157" TargetMode="External"/><Relationship Id="rId1" Type="http://schemas.openxmlformats.org/officeDocument/2006/relationships/hyperlink" Target="http://vsolj.cetus-net.org/no47.pdf" TargetMode="External"/><Relationship Id="rId6" Type="http://schemas.openxmlformats.org/officeDocument/2006/relationships/hyperlink" Target="http://www.bav-astro.de/sfs/BAVM_link.php?BAVMnr=201" TargetMode="External"/><Relationship Id="rId5" Type="http://schemas.openxmlformats.org/officeDocument/2006/relationships/hyperlink" Target="http://www.bav-astro.de/sfs/BAVM_link.php?BAVMnr=186" TargetMode="External"/><Relationship Id="rId4" Type="http://schemas.openxmlformats.org/officeDocument/2006/relationships/hyperlink" Target="http://www.bav-astro.de/sfs/BAVM_link.php?BAVMnr=192" TargetMode="External"/><Relationship Id="rId9" Type="http://schemas.openxmlformats.org/officeDocument/2006/relationships/hyperlink" Target="http://www.bav-astro.de/sfs/BAVM_link.php?BAVMnr=238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92"/>
  <sheetViews>
    <sheetView tabSelected="1" workbookViewId="0">
      <pane xSplit="14" ySplit="22" topLeftCell="O65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0.5703125" customWidth="1"/>
    <col min="6" max="6" width="15.7109375" customWidth="1"/>
    <col min="7" max="7" width="8.140625" style="9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0" ht="21" thickBot="1" x14ac:dyDescent="0.35">
      <c r="A1" s="1" t="s">
        <v>55</v>
      </c>
      <c r="S1" s="7" t="s">
        <v>9</v>
      </c>
      <c r="T1" s="7" t="s">
        <v>66</v>
      </c>
    </row>
    <row r="2" spans="1:20" ht="12.95" customHeight="1" x14ac:dyDescent="0.2">
      <c r="A2" t="s">
        <v>23</v>
      </c>
      <c r="B2" s="27" t="s">
        <v>62</v>
      </c>
      <c r="S2">
        <v>-250</v>
      </c>
      <c r="T2">
        <f>+D$11+D$12*S2+D$13*S2^2</f>
        <v>3.0174838015085186E-2</v>
      </c>
    </row>
    <row r="3" spans="1:20" ht="12.95" customHeight="1" thickBot="1" x14ac:dyDescent="0.25">
      <c r="S3">
        <v>0</v>
      </c>
      <c r="T3">
        <f t="shared" ref="T3:T16" si="0">+D$11+D$12*S3+D$13*S3^2</f>
        <v>1.0488730869725193E-2</v>
      </c>
    </row>
    <row r="4" spans="1:20" ht="12.95" customHeight="1" thickTop="1" thickBot="1" x14ac:dyDescent="0.25">
      <c r="A4" s="6" t="s">
        <v>0</v>
      </c>
      <c r="C4" s="3">
        <v>42050.734400000001</v>
      </c>
      <c r="D4" s="4">
        <v>5.5614509999999999</v>
      </c>
      <c r="S4">
        <v>250</v>
      </c>
      <c r="T4">
        <f t="shared" si="0"/>
        <v>-7.0684302453647499E-3</v>
      </c>
    </row>
    <row r="5" spans="1:20" ht="12.95" customHeight="1" thickTop="1" x14ac:dyDescent="0.2">
      <c r="A5" s="13" t="s">
        <v>56</v>
      </c>
      <c r="B5" s="14"/>
      <c r="C5" s="15">
        <v>-9.5</v>
      </c>
      <c r="D5" s="14" t="s">
        <v>57</v>
      </c>
      <c r="S5">
        <v>500</v>
      </c>
      <c r="T5">
        <f t="shared" si="0"/>
        <v>-2.2496645330184646E-2</v>
      </c>
    </row>
    <row r="6" spans="1:20" ht="12.95" customHeight="1" x14ac:dyDescent="0.2">
      <c r="A6" s="6" t="s">
        <v>1</v>
      </c>
      <c r="S6">
        <v>750</v>
      </c>
      <c r="T6">
        <f t="shared" si="0"/>
        <v>-3.5795914384734485E-2</v>
      </c>
    </row>
    <row r="7" spans="1:20" ht="12.95" customHeight="1" x14ac:dyDescent="0.2">
      <c r="A7" t="s">
        <v>2</v>
      </c>
      <c r="C7">
        <f>+C4</f>
        <v>42050.734400000001</v>
      </c>
      <c r="S7">
        <v>1000</v>
      </c>
      <c r="T7">
        <f t="shared" si="0"/>
        <v>-4.6966237409014282E-2</v>
      </c>
    </row>
    <row r="8" spans="1:20" ht="12.95" customHeight="1" x14ac:dyDescent="0.2">
      <c r="A8" t="s">
        <v>3</v>
      </c>
      <c r="C8">
        <f>+D4</f>
        <v>5.5614509999999999</v>
      </c>
      <c r="S8">
        <v>1250</v>
      </c>
      <c r="T8">
        <f t="shared" si="0"/>
        <v>-5.6007614403024028E-2</v>
      </c>
    </row>
    <row r="9" spans="1:20" ht="12.95" customHeight="1" x14ac:dyDescent="0.2">
      <c r="A9" s="30" t="s">
        <v>65</v>
      </c>
      <c r="B9" s="31">
        <v>73</v>
      </c>
      <c r="C9" s="29" t="str">
        <f>"F"&amp;B9</f>
        <v>F73</v>
      </c>
      <c r="D9" s="26" t="str">
        <f>"G"&amp;B9</f>
        <v>G73</v>
      </c>
      <c r="E9" s="14"/>
      <c r="S9">
        <v>1500</v>
      </c>
      <c r="T9">
        <f t="shared" si="0"/>
        <v>-6.2920045366763724E-2</v>
      </c>
    </row>
    <row r="10" spans="1:20" ht="12.95" customHeight="1" thickBot="1" x14ac:dyDescent="0.25">
      <c r="A10" s="14"/>
      <c r="B10" s="14"/>
      <c r="C10" s="5" t="s">
        <v>19</v>
      </c>
      <c r="D10" s="5" t="s">
        <v>20</v>
      </c>
      <c r="E10" s="14"/>
      <c r="S10">
        <v>1750</v>
      </c>
      <c r="T10">
        <f t="shared" si="0"/>
        <v>-6.7703530300233378E-2</v>
      </c>
    </row>
    <row r="11" spans="1:20" ht="12.95" customHeight="1" x14ac:dyDescent="0.2">
      <c r="A11" s="14" t="s">
        <v>15</v>
      </c>
      <c r="B11" s="14"/>
      <c r="C11" s="28">
        <f ca="1">INTERCEPT(INDIRECT($D$9):G991,INDIRECT($C$9):F991)</f>
        <v>-0.17104293268297269</v>
      </c>
      <c r="D11" s="16">
        <f>+E11*F11</f>
        <v>1.0488730869725193E-2</v>
      </c>
      <c r="E11" s="33">
        <v>10.488730869725192</v>
      </c>
      <c r="F11" s="32">
        <v>1E-3</v>
      </c>
      <c r="S11">
        <v>2000</v>
      </c>
      <c r="T11">
        <f t="shared" si="0"/>
        <v>-7.0358069203432988E-2</v>
      </c>
    </row>
    <row r="12" spans="1:20" ht="12.95" customHeight="1" x14ac:dyDescent="0.2">
      <c r="A12" s="14" t="s">
        <v>16</v>
      </c>
      <c r="B12" s="14"/>
      <c r="C12" s="28">
        <f ca="1">SLOPE(INDIRECT($D$9):G991,INDIRECT($C$9):F991)</f>
        <v>4.7131283059579051E-5</v>
      </c>
      <c r="D12" s="16">
        <f>+E12*F12</f>
        <v>-7.4486536520899869E-5</v>
      </c>
      <c r="E12" s="34">
        <v>-7.4486536520899858</v>
      </c>
      <c r="F12" s="32">
        <v>1.0000000000000001E-5</v>
      </c>
      <c r="S12">
        <v>2250</v>
      </c>
      <c r="T12">
        <f t="shared" si="0"/>
        <v>-7.0883662076362527E-2</v>
      </c>
    </row>
    <row r="13" spans="1:20" ht="12.95" customHeight="1" thickBot="1" x14ac:dyDescent="0.25">
      <c r="A13" s="14" t="s">
        <v>18</v>
      </c>
      <c r="B13" s="14"/>
      <c r="C13" s="16" t="s">
        <v>13</v>
      </c>
      <c r="D13" s="16">
        <f>+E13*F13</f>
        <v>1.7031568242160395E-8</v>
      </c>
      <c r="E13" s="35">
        <v>1.7031568242160395</v>
      </c>
      <c r="F13" s="32">
        <v>1E-8</v>
      </c>
      <c r="S13">
        <v>2500</v>
      </c>
      <c r="T13">
        <f t="shared" si="0"/>
        <v>-6.9280308919022024E-2</v>
      </c>
    </row>
    <row r="14" spans="1:20" ht="12.95" customHeight="1" x14ac:dyDescent="0.2">
      <c r="E14" s="14">
        <f>SUM(R21:R46)</f>
        <v>2.9424238841388428</v>
      </c>
      <c r="S14">
        <v>2750</v>
      </c>
      <c r="T14">
        <f t="shared" si="0"/>
        <v>-6.5548009731411477E-2</v>
      </c>
    </row>
    <row r="15" spans="1:20" ht="12.95" customHeight="1" x14ac:dyDescent="0.2">
      <c r="A15" s="17" t="s">
        <v>17</v>
      </c>
      <c r="B15" s="14"/>
      <c r="C15" s="18">
        <f ca="1">(C7+C11)+(C8+C12)*INT(MAX(F21:F3532))</f>
        <v>59274.523069650953</v>
      </c>
      <c r="D15" s="26">
        <f>+C7+INT(MAX(F21:F1587))*C8+D11+D12*INT(MAX(F21:F4022))+D13*INT(MAX(F21:F4049)^2)</f>
        <v>59274.49130766419</v>
      </c>
      <c r="E15" s="19" t="s">
        <v>388</v>
      </c>
      <c r="F15" s="96">
        <v>1</v>
      </c>
      <c r="S15">
        <v>3000</v>
      </c>
      <c r="T15">
        <f t="shared" si="0"/>
        <v>-5.9686764513530888E-2</v>
      </c>
    </row>
    <row r="16" spans="1:20" ht="12.95" customHeight="1" x14ac:dyDescent="0.2">
      <c r="A16" s="21" t="s">
        <v>4</v>
      </c>
      <c r="B16" s="14"/>
      <c r="C16" s="22">
        <f ca="1">+C8+C12</f>
        <v>5.5614981312830594</v>
      </c>
      <c r="D16" s="72">
        <f>+C8+D12+2*D13*MAX(F21:F119)</f>
        <v>5.5614820069971707</v>
      </c>
      <c r="E16" s="19" t="s">
        <v>58</v>
      </c>
      <c r="F16" s="20">
        <f ca="1">NOW()+15018.5+$C$5/24</f>
        <v>60338.731910069444</v>
      </c>
      <c r="S16">
        <v>3250</v>
      </c>
      <c r="T16">
        <f t="shared" si="0"/>
        <v>-5.1696573265380241E-2</v>
      </c>
    </row>
    <row r="17" spans="1:21" ht="12.95" customHeight="1" thickBot="1" x14ac:dyDescent="0.25">
      <c r="A17" s="19" t="s">
        <v>52</v>
      </c>
      <c r="B17" s="14"/>
      <c r="C17" s="14">
        <f>COUNT(C21:C2190)</f>
        <v>63</v>
      </c>
      <c r="D17" s="19"/>
      <c r="E17" s="19" t="s">
        <v>389</v>
      </c>
      <c r="F17" s="20">
        <f ca="1">ROUND(2*(F16-$C$7)/$C$8,0)/2+F15</f>
        <v>3289.5</v>
      </c>
    </row>
    <row r="18" spans="1:21" ht="12.95" customHeight="1" thickBot="1" x14ac:dyDescent="0.25">
      <c r="A18" s="94" t="s">
        <v>386</v>
      </c>
      <c r="B18" s="14"/>
      <c r="C18" s="77">
        <f ca="1">+C15</f>
        <v>59274.523069650953</v>
      </c>
      <c r="D18" s="78">
        <f ca="1">+C16</f>
        <v>5.5614981312830594</v>
      </c>
      <c r="E18" s="19" t="s">
        <v>59</v>
      </c>
      <c r="F18" s="26">
        <f ca="1">ROUND(2*(F16-$C$15)/$C$16,0)/2+F15</f>
        <v>192.5</v>
      </c>
    </row>
    <row r="19" spans="1:21" ht="12.95" customHeight="1" thickBot="1" x14ac:dyDescent="0.25">
      <c r="A19" s="95" t="s">
        <v>387</v>
      </c>
      <c r="C19" s="73">
        <f>D15</f>
        <v>59274.49130766419</v>
      </c>
      <c r="D19" s="74">
        <f>D16</f>
        <v>5.5614820069971707</v>
      </c>
      <c r="E19" s="19" t="s">
        <v>60</v>
      </c>
      <c r="F19" s="23">
        <f ca="1">+$C$15+$C$16*F18-15018.5-$C$5/24</f>
        <v>45327.007293256276</v>
      </c>
    </row>
    <row r="20" spans="1:21" ht="12.95" customHeight="1" thickBot="1" x14ac:dyDescent="0.25">
      <c r="A20" s="5" t="s">
        <v>5</v>
      </c>
      <c r="B20" s="5" t="s">
        <v>6</v>
      </c>
      <c r="C20" s="5" t="s">
        <v>7</v>
      </c>
      <c r="D20" s="5" t="s">
        <v>12</v>
      </c>
      <c r="E20" s="5" t="s">
        <v>8</v>
      </c>
      <c r="F20" s="5" t="s">
        <v>9</v>
      </c>
      <c r="G20" s="98" t="s">
        <v>10</v>
      </c>
      <c r="H20" s="8" t="s">
        <v>152</v>
      </c>
      <c r="I20" s="8" t="s">
        <v>146</v>
      </c>
      <c r="J20" s="8" t="s">
        <v>150</v>
      </c>
      <c r="K20" s="8" t="s">
        <v>149</v>
      </c>
      <c r="L20" s="8" t="s">
        <v>24</v>
      </c>
      <c r="M20" s="8" t="s">
        <v>25</v>
      </c>
      <c r="N20" s="8" t="s">
        <v>26</v>
      </c>
      <c r="O20" s="8" t="s">
        <v>22</v>
      </c>
      <c r="P20" s="7" t="s">
        <v>21</v>
      </c>
      <c r="Q20" s="5" t="s">
        <v>14</v>
      </c>
      <c r="U20" s="97" t="s">
        <v>390</v>
      </c>
    </row>
    <row r="21" spans="1:21" ht="12.95" customHeight="1" x14ac:dyDescent="0.2">
      <c r="A21" s="92" t="s">
        <v>160</v>
      </c>
      <c r="B21" s="93" t="s">
        <v>54</v>
      </c>
      <c r="C21" s="92">
        <v>21284.2</v>
      </c>
      <c r="D21" s="92" t="s">
        <v>146</v>
      </c>
      <c r="E21">
        <f t="shared" ref="E21:E52" si="1">+(C21-C$7)/C$8</f>
        <v>-3734.0137313086102</v>
      </c>
      <c r="F21">
        <f t="shared" ref="F21:F52" si="2">ROUND(2*E21,0)/2</f>
        <v>-3734</v>
      </c>
      <c r="G21" s="9">
        <f>+C21-(C$7+F21*C$8)</f>
        <v>-7.636600000114413E-2</v>
      </c>
      <c r="I21">
        <f>+G21</f>
        <v>-7.636600000114413E-2</v>
      </c>
      <c r="P21">
        <f t="shared" ref="P21:P52" si="3">+D$11+D$12*F21+D$13*F21^2</f>
        <v>0.52608845853655661</v>
      </c>
      <c r="Q21" s="2">
        <f t="shared" ref="Q21:Q52" si="4">+C21-15018.5</f>
        <v>6265.7000000000007</v>
      </c>
      <c r="R21">
        <f>+(P21-G21)^2</f>
        <v>0.3629513746119542</v>
      </c>
    </row>
    <row r="22" spans="1:21" ht="12.95" customHeight="1" x14ac:dyDescent="0.2">
      <c r="A22" s="92" t="s">
        <v>165</v>
      </c>
      <c r="B22" s="93" t="s">
        <v>54</v>
      </c>
      <c r="C22" s="92">
        <v>25644.376</v>
      </c>
      <c r="D22" s="92" t="s">
        <v>146</v>
      </c>
      <c r="E22">
        <f t="shared" si="1"/>
        <v>-2950.0140161263671</v>
      </c>
      <c r="F22">
        <f t="shared" si="2"/>
        <v>-2950</v>
      </c>
      <c r="G22" s="9">
        <f>+C22-(C$7+F22*C$8)</f>
        <v>-7.7950000002601882E-2</v>
      </c>
      <c r="I22">
        <f>+G22</f>
        <v>-7.7950000002601882E-2</v>
      </c>
      <c r="P22">
        <f t="shared" si="3"/>
        <v>0.37844123623378062</v>
      </c>
      <c r="Q22" s="2">
        <f t="shared" si="4"/>
        <v>10625.876</v>
      </c>
      <c r="R22">
        <f>+(P22-G22)^2</f>
        <v>0.20829296051337351</v>
      </c>
    </row>
    <row r="23" spans="1:21" ht="12.95" customHeight="1" x14ac:dyDescent="0.2">
      <c r="A23" s="92" t="s">
        <v>165</v>
      </c>
      <c r="B23" s="93" t="s">
        <v>54</v>
      </c>
      <c r="C23" s="92">
        <v>26000.510999999999</v>
      </c>
      <c r="D23" s="92" t="s">
        <v>146</v>
      </c>
      <c r="E23">
        <f t="shared" si="1"/>
        <v>-2885.9776702159206</v>
      </c>
      <c r="F23">
        <f t="shared" si="2"/>
        <v>-2886</v>
      </c>
      <c r="P23">
        <f t="shared" si="3"/>
        <v>0.36731273903172312</v>
      </c>
      <c r="Q23" s="2">
        <f t="shared" si="4"/>
        <v>10982.010999999999</v>
      </c>
      <c r="R23">
        <f>+(P23-U23)^2</f>
        <v>5.9110611233522063E-2</v>
      </c>
      <c r="U23">
        <f>+C23-(C$7+F23*C$8)</f>
        <v>0.12418599999728031</v>
      </c>
    </row>
    <row r="24" spans="1:21" ht="12.95" customHeight="1" x14ac:dyDescent="0.2">
      <c r="A24" s="92" t="s">
        <v>165</v>
      </c>
      <c r="B24" s="93" t="s">
        <v>54</v>
      </c>
      <c r="C24" s="92">
        <v>26039.428</v>
      </c>
      <c r="D24" s="92" t="s">
        <v>146</v>
      </c>
      <c r="E24">
        <f t="shared" si="1"/>
        <v>-2878.9800359654346</v>
      </c>
      <c r="F24">
        <f t="shared" si="2"/>
        <v>-2879</v>
      </c>
      <c r="P24">
        <f t="shared" si="3"/>
        <v>0.36610402433966449</v>
      </c>
      <c r="Q24" s="2">
        <f t="shared" si="4"/>
        <v>11020.928</v>
      </c>
      <c r="R24">
        <f>+(P24-U24)^2</f>
        <v>6.506326804203888E-2</v>
      </c>
      <c r="U24">
        <f>+C24-(C$7+F24*C$8)</f>
        <v>0.1110289999996894</v>
      </c>
    </row>
    <row r="25" spans="1:21" ht="12.95" customHeight="1" x14ac:dyDescent="0.2">
      <c r="A25" s="92" t="s">
        <v>165</v>
      </c>
      <c r="B25" s="93" t="s">
        <v>54</v>
      </c>
      <c r="C25" s="92">
        <v>26089.352999999999</v>
      </c>
      <c r="D25" s="92" t="s">
        <v>146</v>
      </c>
      <c r="E25">
        <f t="shared" si="1"/>
        <v>-2870.0030621505075</v>
      </c>
      <c r="F25">
        <f t="shared" si="2"/>
        <v>-2870</v>
      </c>
      <c r="G25" s="9">
        <f>+C25-(C$7+F25*C$8)</f>
        <v>-1.7030000002705492E-2</v>
      </c>
      <c r="I25">
        <f>+G25</f>
        <v>-1.7030000002705492E-2</v>
      </c>
      <c r="P25">
        <f t="shared" si="3"/>
        <v>0.36455241513855874</v>
      </c>
      <c r="Q25" s="2">
        <f t="shared" si="4"/>
        <v>11070.852999999999</v>
      </c>
      <c r="R25">
        <f>+(P25-G25)^2</f>
        <v>0.14560513954504012</v>
      </c>
    </row>
    <row r="26" spans="1:21" ht="12.95" customHeight="1" x14ac:dyDescent="0.2">
      <c r="A26" s="92" t="s">
        <v>165</v>
      </c>
      <c r="B26" s="93" t="s">
        <v>54</v>
      </c>
      <c r="C26" s="92">
        <v>26417.439999999999</v>
      </c>
      <c r="D26" s="92" t="s">
        <v>146</v>
      </c>
      <c r="E26">
        <f t="shared" si="1"/>
        <v>-2811.0100044035275</v>
      </c>
      <c r="F26">
        <f t="shared" si="2"/>
        <v>-2811</v>
      </c>
      <c r="G26" s="9">
        <f>+C26-(C$7+F26*C$8)</f>
        <v>-5.5639000001974637E-2</v>
      </c>
      <c r="I26">
        <f>+G26</f>
        <v>-5.5639000001974637E-2</v>
      </c>
      <c r="P26">
        <f t="shared" si="3"/>
        <v>0.35444908547198661</v>
      </c>
      <c r="Q26" s="2">
        <f t="shared" si="4"/>
        <v>11398.939999999999</v>
      </c>
      <c r="R26">
        <f>+(P26-G26)^2</f>
        <v>0.16817223784769894</v>
      </c>
    </row>
    <row r="27" spans="1:21" ht="12.95" customHeight="1" x14ac:dyDescent="0.2">
      <c r="A27" s="92" t="s">
        <v>165</v>
      </c>
      <c r="B27" s="93" t="s">
        <v>54</v>
      </c>
      <c r="C27" s="92">
        <v>26745.396000000001</v>
      </c>
      <c r="D27" s="92" t="s">
        <v>146</v>
      </c>
      <c r="E27">
        <f t="shared" si="1"/>
        <v>-2752.0405016604482</v>
      </c>
      <c r="F27">
        <f t="shared" si="2"/>
        <v>-2752</v>
      </c>
      <c r="P27">
        <f t="shared" si="3"/>
        <v>0.34446432958351636</v>
      </c>
      <c r="Q27" s="2">
        <f t="shared" si="4"/>
        <v>11726.896000000001</v>
      </c>
      <c r="R27">
        <f>+(P27-U27)^2</f>
        <v>0.32457213848228716</v>
      </c>
      <c r="U27" s="9">
        <f>+C27-(C$7+F27*C$8)</f>
        <v>-0.22524800000246614</v>
      </c>
    </row>
    <row r="28" spans="1:21" ht="12.95" customHeight="1" x14ac:dyDescent="0.2">
      <c r="A28" s="92" t="s">
        <v>165</v>
      </c>
      <c r="B28" s="93" t="s">
        <v>54</v>
      </c>
      <c r="C28" s="92">
        <v>26984.627</v>
      </c>
      <c r="D28" s="92" t="s">
        <v>146</v>
      </c>
      <c r="E28">
        <f t="shared" si="1"/>
        <v>-2709.0245693075426</v>
      </c>
      <c r="F28">
        <f t="shared" si="2"/>
        <v>-2709</v>
      </c>
      <c r="P28">
        <f t="shared" si="3"/>
        <v>0.33726200456378885</v>
      </c>
      <c r="Q28" s="2">
        <f t="shared" si="4"/>
        <v>11966.127</v>
      </c>
      <c r="R28">
        <f>+(P28-U28)^2</f>
        <v>0.22458405773549986</v>
      </c>
      <c r="U28" s="9">
        <f>+C28-(C$7+F28*C$8)</f>
        <v>-0.13664100000096369</v>
      </c>
    </row>
    <row r="29" spans="1:21" ht="12.95" customHeight="1" x14ac:dyDescent="0.2">
      <c r="A29" s="92" t="s">
        <v>165</v>
      </c>
      <c r="B29" s="93" t="s">
        <v>54</v>
      </c>
      <c r="C29" s="92">
        <v>27062.444</v>
      </c>
      <c r="D29" s="92" t="s">
        <v>146</v>
      </c>
      <c r="E29">
        <f t="shared" si="1"/>
        <v>-2695.0323575628017</v>
      </c>
      <c r="F29">
        <f t="shared" si="2"/>
        <v>-2695</v>
      </c>
      <c r="P29">
        <f t="shared" si="3"/>
        <v>0.33493065272556732</v>
      </c>
      <c r="Q29" s="2">
        <f t="shared" si="4"/>
        <v>12043.944</v>
      </c>
      <c r="R29">
        <f>+(P29-U29)^2</f>
        <v>0.26510723538597702</v>
      </c>
      <c r="U29" s="9">
        <f>+C29-(C$7+F29*C$8)</f>
        <v>-0.17995500000324682</v>
      </c>
    </row>
    <row r="30" spans="1:21" ht="12.95" customHeight="1" x14ac:dyDescent="0.2">
      <c r="A30" s="92" t="s">
        <v>191</v>
      </c>
      <c r="B30" s="93" t="s">
        <v>54</v>
      </c>
      <c r="C30" s="92">
        <v>27101.506000000001</v>
      </c>
      <c r="D30" s="92" t="s">
        <v>146</v>
      </c>
      <c r="E30">
        <f t="shared" si="1"/>
        <v>-2688.0086509797534</v>
      </c>
      <c r="F30">
        <f t="shared" si="2"/>
        <v>-2688</v>
      </c>
      <c r="G30" s="9">
        <f>+C30-(C$7+F30*C$8)</f>
        <v>-4.8112000000401167E-2</v>
      </c>
      <c r="I30">
        <f>+G30</f>
        <v>-4.8112000000401167E-2</v>
      </c>
      <c r="P30">
        <f t="shared" si="3"/>
        <v>0.33376748044698817</v>
      </c>
      <c r="Q30" s="2">
        <f t="shared" si="4"/>
        <v>12083.006000000001</v>
      </c>
      <c r="R30">
        <f>+(P30-G30)^2</f>
        <v>0.14583193758676802</v>
      </c>
    </row>
    <row r="31" spans="1:21" ht="12.95" customHeight="1" x14ac:dyDescent="0.2">
      <c r="A31" s="92" t="s">
        <v>165</v>
      </c>
      <c r="B31" s="93" t="s">
        <v>54</v>
      </c>
      <c r="C31" s="92">
        <v>27157.337</v>
      </c>
      <c r="D31" s="92" t="s">
        <v>146</v>
      </c>
      <c r="E31">
        <f t="shared" si="1"/>
        <v>-2677.9697240881924</v>
      </c>
      <c r="F31">
        <f t="shared" si="2"/>
        <v>-2678</v>
      </c>
      <c r="P31">
        <f t="shared" si="3"/>
        <v>0.33210870112990487</v>
      </c>
      <c r="Q31" s="2">
        <f t="shared" si="4"/>
        <v>12138.837</v>
      </c>
      <c r="R31">
        <f>+(P31-U31)^2</f>
        <v>2.6807742492986803E-2</v>
      </c>
      <c r="U31">
        <f>+C31-(C$7+F31*C$8)</f>
        <v>0.16837799999848357</v>
      </c>
    </row>
    <row r="32" spans="1:21" ht="12.95" customHeight="1" x14ac:dyDescent="0.2">
      <c r="A32" s="92" t="s">
        <v>165</v>
      </c>
      <c r="B32" s="93" t="s">
        <v>54</v>
      </c>
      <c r="C32" s="92">
        <v>27396.495999999999</v>
      </c>
      <c r="D32" s="92" t="s">
        <v>146</v>
      </c>
      <c r="E32">
        <f t="shared" si="1"/>
        <v>-2634.9667379969728</v>
      </c>
      <c r="F32">
        <f t="shared" si="2"/>
        <v>-2635</v>
      </c>
      <c r="P32">
        <f t="shared" si="3"/>
        <v>0.32501476501047044</v>
      </c>
      <c r="Q32" s="2">
        <f t="shared" si="4"/>
        <v>12377.995999999999</v>
      </c>
      <c r="R32">
        <f>+(P32-U32)^2</f>
        <v>1.9608335088924088E-2</v>
      </c>
      <c r="U32">
        <f>+C32-(C$7+F32*C$8)</f>
        <v>0.18498499999986961</v>
      </c>
    </row>
    <row r="33" spans="1:18" ht="12.95" customHeight="1" x14ac:dyDescent="0.2">
      <c r="A33" s="92" t="s">
        <v>202</v>
      </c>
      <c r="B33" s="93" t="s">
        <v>54</v>
      </c>
      <c r="C33" s="92">
        <v>27435.25</v>
      </c>
      <c r="D33" s="92" t="s">
        <v>146</v>
      </c>
      <c r="E33">
        <f t="shared" si="1"/>
        <v>-2627.9984126444701</v>
      </c>
      <c r="F33">
        <f t="shared" si="2"/>
        <v>-2628</v>
      </c>
      <c r="G33" s="9">
        <f t="shared" ref="G33:G65" si="5">+C33-(C$7+F33*C$8)</f>
        <v>8.8279999981750734E-3</v>
      </c>
      <c r="I33">
        <f t="shared" ref="I33:I65" si="6">+G33</f>
        <v>8.8279999981750734E-3</v>
      </c>
      <c r="P33">
        <f t="shared" si="3"/>
        <v>0.32386589924921472</v>
      </c>
      <c r="Q33" s="2">
        <f t="shared" si="4"/>
        <v>12416.75</v>
      </c>
      <c r="R33">
        <f t="shared" ref="R33:R65" si="7">+(P33-G33)^2</f>
        <v>9.9248877964508209E-2</v>
      </c>
    </row>
    <row r="34" spans="1:18" ht="12.95" customHeight="1" x14ac:dyDescent="0.2">
      <c r="A34" s="92" t="s">
        <v>165</v>
      </c>
      <c r="B34" s="93" t="s">
        <v>54</v>
      </c>
      <c r="C34" s="92">
        <v>27457.403999999999</v>
      </c>
      <c r="D34" s="92" t="s">
        <v>146</v>
      </c>
      <c r="E34">
        <f t="shared" si="1"/>
        <v>-2624.0149198473569</v>
      </c>
      <c r="F34">
        <f t="shared" si="2"/>
        <v>-2624</v>
      </c>
      <c r="G34" s="9">
        <f t="shared" si="5"/>
        <v>-8.297600000150851E-2</v>
      </c>
      <c r="I34">
        <f t="shared" si="6"/>
        <v>-8.297600000150851E-2</v>
      </c>
      <c r="P34">
        <f t="shared" si="3"/>
        <v>0.3232101539174998</v>
      </c>
      <c r="Q34" s="2">
        <f t="shared" si="4"/>
        <v>12438.903999999999</v>
      </c>
      <c r="R34">
        <f t="shared" si="7"/>
        <v>0.16498719163551631</v>
      </c>
    </row>
    <row r="35" spans="1:18" ht="12.95" customHeight="1" x14ac:dyDescent="0.2">
      <c r="A35" s="92" t="s">
        <v>211</v>
      </c>
      <c r="B35" s="93" t="s">
        <v>54</v>
      </c>
      <c r="C35" s="92">
        <v>28547.514999999999</v>
      </c>
      <c r="D35" s="92" t="s">
        <v>146</v>
      </c>
      <c r="E35">
        <f t="shared" si="1"/>
        <v>-2428.0029438360602</v>
      </c>
      <c r="F35">
        <f t="shared" si="2"/>
        <v>-2428</v>
      </c>
      <c r="G35" s="9">
        <f t="shared" si="5"/>
        <v>-1.6372000001865672E-2</v>
      </c>
      <c r="I35">
        <f t="shared" si="6"/>
        <v>-1.6372000001865672E-2</v>
      </c>
      <c r="P35">
        <f t="shared" si="3"/>
        <v>0.29174627013856214</v>
      </c>
      <c r="Q35" s="2">
        <f t="shared" si="4"/>
        <v>13529.014999999999</v>
      </c>
      <c r="R35">
        <f t="shared" si="7"/>
        <v>9.4936868394329646E-2</v>
      </c>
    </row>
    <row r="36" spans="1:18" ht="12.95" customHeight="1" x14ac:dyDescent="0.2">
      <c r="A36" s="92" t="s">
        <v>211</v>
      </c>
      <c r="B36" s="93" t="s">
        <v>54</v>
      </c>
      <c r="C36" s="92">
        <v>28636.511999999999</v>
      </c>
      <c r="D36" s="92" t="s">
        <v>146</v>
      </c>
      <c r="E36">
        <f t="shared" si="1"/>
        <v>-2412.0004653461842</v>
      </c>
      <c r="F36">
        <f t="shared" si="2"/>
        <v>-2412</v>
      </c>
      <c r="G36" s="9">
        <f t="shared" si="5"/>
        <v>-2.5880000030156225E-3</v>
      </c>
      <c r="I36">
        <f t="shared" si="6"/>
        <v>-2.5880000030156225E-3</v>
      </c>
      <c r="P36">
        <f t="shared" si="3"/>
        <v>0.28923556090955482</v>
      </c>
      <c r="Q36" s="2">
        <f t="shared" si="4"/>
        <v>13618.011999999999</v>
      </c>
      <c r="R36">
        <f t="shared" si="7"/>
        <v>8.5160990703692707E-2</v>
      </c>
    </row>
    <row r="37" spans="1:18" ht="12.95" customHeight="1" x14ac:dyDescent="0.2">
      <c r="A37" s="92" t="s">
        <v>211</v>
      </c>
      <c r="B37" s="93" t="s">
        <v>54</v>
      </c>
      <c r="C37" s="92">
        <v>28953.508000000002</v>
      </c>
      <c r="D37" s="92" t="s">
        <v>146</v>
      </c>
      <c r="E37">
        <f t="shared" si="1"/>
        <v>-2355.0016713264217</v>
      </c>
      <c r="F37">
        <f t="shared" si="2"/>
        <v>-2355</v>
      </c>
      <c r="G37" s="9">
        <f t="shared" si="5"/>
        <v>-9.2949999998381827E-3</v>
      </c>
      <c r="I37">
        <f t="shared" si="6"/>
        <v>-9.2949999998381827E-3</v>
      </c>
      <c r="P37">
        <f t="shared" si="3"/>
        <v>0.28036202763667195</v>
      </c>
      <c r="Q37" s="2">
        <f t="shared" si="4"/>
        <v>13935.008000000002</v>
      </c>
      <c r="R37">
        <f t="shared" si="7"/>
        <v>8.3901193659217999E-2</v>
      </c>
    </row>
    <row r="38" spans="1:18" ht="12.95" customHeight="1" x14ac:dyDescent="0.2">
      <c r="A38" s="92" t="s">
        <v>211</v>
      </c>
      <c r="B38" s="93" t="s">
        <v>54</v>
      </c>
      <c r="C38" s="92">
        <v>28964.637999999999</v>
      </c>
      <c r="D38" s="92" t="s">
        <v>146</v>
      </c>
      <c r="E38">
        <f t="shared" si="1"/>
        <v>-2353.0003950407909</v>
      </c>
      <c r="F38">
        <f t="shared" si="2"/>
        <v>-2353</v>
      </c>
      <c r="G38" s="9">
        <f t="shared" si="5"/>
        <v>-2.197000001615379E-3</v>
      </c>
      <c r="I38">
        <f t="shared" si="6"/>
        <v>-2.197000001615379E-3</v>
      </c>
      <c r="P38">
        <f t="shared" si="3"/>
        <v>0.28005268531706201</v>
      </c>
      <c r="Q38" s="2">
        <f t="shared" si="4"/>
        <v>13946.137999999999</v>
      </c>
      <c r="R38">
        <f t="shared" si="7"/>
        <v>7.9664884862492416E-2</v>
      </c>
    </row>
    <row r="39" spans="1:18" ht="12.95" customHeight="1" x14ac:dyDescent="0.2">
      <c r="A39" s="92" t="s">
        <v>211</v>
      </c>
      <c r="B39" s="93" t="s">
        <v>54</v>
      </c>
      <c r="C39" s="92">
        <v>28981.315999999999</v>
      </c>
      <c r="D39" s="92" t="s">
        <v>146</v>
      </c>
      <c r="E39">
        <f t="shared" si="1"/>
        <v>-2350.0015373685756</v>
      </c>
      <c r="F39">
        <f t="shared" si="2"/>
        <v>-2350</v>
      </c>
      <c r="G39" s="9">
        <f t="shared" si="5"/>
        <v>-8.5500000022875611E-3</v>
      </c>
      <c r="I39">
        <f t="shared" si="6"/>
        <v>-8.5500000022875611E-3</v>
      </c>
      <c r="P39">
        <f t="shared" si="3"/>
        <v>0.27958892731117069</v>
      </c>
      <c r="Q39" s="2">
        <f t="shared" si="4"/>
        <v>13962.815999999999</v>
      </c>
      <c r="R39">
        <f t="shared" si="7"/>
        <v>8.3024041433350376E-2</v>
      </c>
    </row>
    <row r="40" spans="1:18" ht="12.95" customHeight="1" x14ac:dyDescent="0.2">
      <c r="A40" s="92" t="s">
        <v>227</v>
      </c>
      <c r="B40" s="93" t="s">
        <v>54</v>
      </c>
      <c r="C40" s="92">
        <v>30760.991000000002</v>
      </c>
      <c r="D40" s="92" t="s">
        <v>146</v>
      </c>
      <c r="E40">
        <f t="shared" si="1"/>
        <v>-2029.9996170064251</v>
      </c>
      <c r="F40">
        <f t="shared" si="2"/>
        <v>-2030</v>
      </c>
      <c r="G40" s="9">
        <f t="shared" si="5"/>
        <v>2.1300000007613562E-3</v>
      </c>
      <c r="I40">
        <f t="shared" si="6"/>
        <v>2.1300000007613562E-3</v>
      </c>
      <c r="P40">
        <f t="shared" si="3"/>
        <v>0.23188178957627067</v>
      </c>
      <c r="Q40" s="2">
        <f t="shared" si="4"/>
        <v>15742.491000000002</v>
      </c>
      <c r="R40">
        <f t="shared" si="7"/>
        <v>5.2785884813149116E-2</v>
      </c>
    </row>
    <row r="41" spans="1:18" ht="12.95" customHeight="1" x14ac:dyDescent="0.2">
      <c r="A41" s="92" t="s">
        <v>227</v>
      </c>
      <c r="B41" s="93" t="s">
        <v>54</v>
      </c>
      <c r="C41" s="92">
        <v>31550.741999999998</v>
      </c>
      <c r="D41" s="92" t="s">
        <v>146</v>
      </c>
      <c r="E41">
        <f t="shared" si="1"/>
        <v>-1887.9951293286595</v>
      </c>
      <c r="F41">
        <f t="shared" si="2"/>
        <v>-1888</v>
      </c>
      <c r="G41" s="9">
        <f t="shared" si="5"/>
        <v>2.7087999995274004E-2</v>
      </c>
      <c r="I41">
        <f t="shared" si="6"/>
        <v>2.7087999995274004E-2</v>
      </c>
      <c r="P41">
        <f t="shared" si="3"/>
        <v>0.21182908620936752</v>
      </c>
      <c r="Q41" s="2">
        <f t="shared" si="4"/>
        <v>16532.241999999998</v>
      </c>
      <c r="R41">
        <f t="shared" si="7"/>
        <v>3.4129268935563131E-2</v>
      </c>
    </row>
    <row r="42" spans="1:18" ht="12.95" customHeight="1" x14ac:dyDescent="0.2">
      <c r="A42" s="92" t="s">
        <v>227</v>
      </c>
      <c r="B42" s="93" t="s">
        <v>54</v>
      </c>
      <c r="C42" s="92">
        <v>32156.917000000001</v>
      </c>
      <c r="D42" s="92" t="s">
        <v>146</v>
      </c>
      <c r="E42">
        <f t="shared" si="1"/>
        <v>-1778.9992935296921</v>
      </c>
      <c r="F42">
        <f t="shared" si="2"/>
        <v>-1779</v>
      </c>
      <c r="G42" s="9">
        <f t="shared" si="5"/>
        <v>3.9289999986067414E-3</v>
      </c>
      <c r="I42">
        <f t="shared" si="6"/>
        <v>3.9289999986067414E-3</v>
      </c>
      <c r="P42">
        <f t="shared" si="3"/>
        <v>0.1969024848074932</v>
      </c>
      <c r="Q42" s="2">
        <f t="shared" si="4"/>
        <v>17138.417000000001</v>
      </c>
      <c r="R42">
        <f t="shared" si="7"/>
        <v>3.723876583928553E-2</v>
      </c>
    </row>
    <row r="43" spans="1:18" ht="12.95" customHeight="1" x14ac:dyDescent="0.2">
      <c r="A43" s="92" t="s">
        <v>227</v>
      </c>
      <c r="B43" s="93" t="s">
        <v>54</v>
      </c>
      <c r="C43" s="92">
        <v>32301.555</v>
      </c>
      <c r="D43" s="92" t="s">
        <v>146</v>
      </c>
      <c r="E43">
        <f t="shared" si="1"/>
        <v>-1752.9920518943709</v>
      </c>
      <c r="F43">
        <f t="shared" si="2"/>
        <v>-1753</v>
      </c>
      <c r="G43" s="9">
        <f t="shared" si="5"/>
        <v>4.4202999997651204E-2</v>
      </c>
      <c r="I43">
        <f t="shared" si="6"/>
        <v>4.4202999997651204E-2</v>
      </c>
      <c r="P43">
        <f t="shared" si="3"/>
        <v>0.19340179188313572</v>
      </c>
      <c r="Q43" s="2">
        <f t="shared" si="4"/>
        <v>17283.055</v>
      </c>
      <c r="R43">
        <f t="shared" si="7"/>
        <v>2.2260279500088121E-2</v>
      </c>
    </row>
    <row r="44" spans="1:18" ht="12.95" customHeight="1" x14ac:dyDescent="0.2">
      <c r="A44" s="92" t="s">
        <v>227</v>
      </c>
      <c r="B44" s="93" t="s">
        <v>54</v>
      </c>
      <c r="C44" s="92">
        <v>32540.670999999998</v>
      </c>
      <c r="D44" s="92" t="s">
        <v>146</v>
      </c>
      <c r="E44">
        <f t="shared" si="1"/>
        <v>-1709.9967975983252</v>
      </c>
      <c r="F44">
        <f t="shared" si="2"/>
        <v>-1710</v>
      </c>
      <c r="G44" s="9">
        <f t="shared" si="5"/>
        <v>1.780999999755295E-2</v>
      </c>
      <c r="I44">
        <f t="shared" si="6"/>
        <v>1.780999999755295E-2</v>
      </c>
      <c r="P44">
        <f t="shared" si="3"/>
        <v>0.18766271701736517</v>
      </c>
      <c r="Q44" s="2">
        <f t="shared" si="4"/>
        <v>17522.170999999998</v>
      </c>
      <c r="R44">
        <f t="shared" si="7"/>
        <v>2.8849945479012408E-2</v>
      </c>
    </row>
    <row r="45" spans="1:18" ht="12.95" customHeight="1" x14ac:dyDescent="0.2">
      <c r="A45" s="92" t="s">
        <v>227</v>
      </c>
      <c r="B45" s="93" t="s">
        <v>54</v>
      </c>
      <c r="C45" s="92">
        <v>32668.58</v>
      </c>
      <c r="D45" s="92" t="s">
        <v>146</v>
      </c>
      <c r="E45">
        <f t="shared" si="1"/>
        <v>-1686.9975839039128</v>
      </c>
      <c r="F45">
        <f t="shared" si="2"/>
        <v>-1687</v>
      </c>
      <c r="G45" s="9">
        <f t="shared" si="5"/>
        <v>1.3437000001431443E-2</v>
      </c>
      <c r="I45">
        <f t="shared" si="6"/>
        <v>1.3437000001431443E-2</v>
      </c>
      <c r="P45">
        <f t="shared" si="3"/>
        <v>0.18461883321905626</v>
      </c>
      <c r="Q45" s="2">
        <f t="shared" si="4"/>
        <v>17650.080000000002</v>
      </c>
      <c r="R45">
        <f t="shared" si="7"/>
        <v>2.9303220023746718E-2</v>
      </c>
    </row>
    <row r="46" spans="1:18" ht="12.95" customHeight="1" x14ac:dyDescent="0.2">
      <c r="A46" s="92" t="s">
        <v>227</v>
      </c>
      <c r="B46" s="93" t="s">
        <v>54</v>
      </c>
      <c r="C46" s="92">
        <v>33007.815000000002</v>
      </c>
      <c r="D46" s="92" t="s">
        <v>146</v>
      </c>
      <c r="E46">
        <f t="shared" si="1"/>
        <v>-1626.00001330588</v>
      </c>
      <c r="F46">
        <f t="shared" si="2"/>
        <v>-1626</v>
      </c>
      <c r="G46" s="9">
        <f t="shared" si="5"/>
        <v>-7.3999995947815478E-5</v>
      </c>
      <c r="I46">
        <f t="shared" si="6"/>
        <v>-7.3999995947815478E-5</v>
      </c>
      <c r="P46">
        <f t="shared" si="3"/>
        <v>0.17663319377051845</v>
      </c>
      <c r="Q46" s="2">
        <f t="shared" si="4"/>
        <v>17989.315000000002</v>
      </c>
      <c r="R46">
        <f t="shared" si="7"/>
        <v>3.1225432328819455E-2</v>
      </c>
    </row>
    <row r="47" spans="1:18" ht="12.95" customHeight="1" x14ac:dyDescent="0.2">
      <c r="A47" s="92" t="s">
        <v>227</v>
      </c>
      <c r="B47" s="93" t="s">
        <v>54</v>
      </c>
      <c r="C47" s="92">
        <v>33246.978999999999</v>
      </c>
      <c r="D47" s="92" t="s">
        <v>146</v>
      </c>
      <c r="E47">
        <f t="shared" si="1"/>
        <v>-1582.9961281687104</v>
      </c>
      <c r="F47">
        <f t="shared" si="2"/>
        <v>-1583</v>
      </c>
      <c r="G47" s="9">
        <f t="shared" si="5"/>
        <v>2.1532999999180902E-2</v>
      </c>
      <c r="I47">
        <f t="shared" si="6"/>
        <v>2.1532999999180902E-2</v>
      </c>
      <c r="P47">
        <f t="shared" si="3"/>
        <v>0.17108013769308875</v>
      </c>
      <c r="Q47" s="2">
        <f t="shared" si="4"/>
        <v>18228.478999999999</v>
      </c>
      <c r="R47">
        <f t="shared" si="7"/>
        <v>2.2364346392440632E-2</v>
      </c>
    </row>
    <row r="48" spans="1:18" ht="12.95" customHeight="1" x14ac:dyDescent="0.2">
      <c r="A48" s="92" t="s">
        <v>227</v>
      </c>
      <c r="B48" s="93" t="s">
        <v>54</v>
      </c>
      <c r="C48" s="92">
        <v>35966.514999999999</v>
      </c>
      <c r="D48" s="92" t="s">
        <v>146</v>
      </c>
      <c r="E48">
        <f t="shared" si="1"/>
        <v>-1093.9985626053349</v>
      </c>
      <c r="F48">
        <f t="shared" si="2"/>
        <v>-1094</v>
      </c>
      <c r="G48" s="9">
        <f t="shared" si="5"/>
        <v>7.9939999995986E-3</v>
      </c>
      <c r="I48">
        <f t="shared" si="6"/>
        <v>7.9939999995986E-3</v>
      </c>
      <c r="P48">
        <f t="shared" si="3"/>
        <v>0.11236099583226394</v>
      </c>
      <c r="Q48" s="2">
        <f t="shared" si="4"/>
        <v>20948.014999999999</v>
      </c>
      <c r="R48">
        <f t="shared" si="7"/>
        <v>1.0892469819135586E-2</v>
      </c>
    </row>
    <row r="49" spans="1:32" ht="12.95" customHeight="1" x14ac:dyDescent="0.2">
      <c r="A49" t="s">
        <v>28</v>
      </c>
      <c r="C49" s="24">
        <v>41950.65</v>
      </c>
      <c r="D49" s="9"/>
      <c r="E49">
        <f t="shared" si="1"/>
        <v>-17.996094904009716</v>
      </c>
      <c r="F49">
        <f t="shared" si="2"/>
        <v>-18</v>
      </c>
      <c r="G49" s="9">
        <f t="shared" si="5"/>
        <v>2.1718000003602356E-2</v>
      </c>
      <c r="I49">
        <f t="shared" si="6"/>
        <v>2.1718000003602356E-2</v>
      </c>
      <c r="P49">
        <f t="shared" si="3"/>
        <v>1.1835006755211852E-2</v>
      </c>
      <c r="Q49" s="2">
        <f t="shared" si="4"/>
        <v>26932.15</v>
      </c>
      <c r="R49">
        <f t="shared" si="7"/>
        <v>9.7673555547732286E-5</v>
      </c>
      <c r="AB49">
        <v>5</v>
      </c>
      <c r="AD49" t="s">
        <v>27</v>
      </c>
      <c r="AF49" t="s">
        <v>29</v>
      </c>
    </row>
    <row r="50" spans="1:32" ht="12.95" customHeight="1" x14ac:dyDescent="0.2">
      <c r="A50" t="s">
        <v>32</v>
      </c>
      <c r="C50" s="24">
        <v>42156.402000000002</v>
      </c>
      <c r="D50" s="9"/>
      <c r="E50">
        <f t="shared" si="1"/>
        <v>19.000005574085016</v>
      </c>
      <c r="F50">
        <f t="shared" si="2"/>
        <v>19</v>
      </c>
      <c r="G50" s="9">
        <f t="shared" si="5"/>
        <v>3.1000003218650818E-5</v>
      </c>
      <c r="I50">
        <f t="shared" si="6"/>
        <v>3.1000003218650818E-5</v>
      </c>
      <c r="P50">
        <f t="shared" si="3"/>
        <v>9.0796350719635158E-3</v>
      </c>
      <c r="Q50" s="2">
        <f t="shared" si="4"/>
        <v>27137.902000000002</v>
      </c>
      <c r="R50">
        <f t="shared" si="7"/>
        <v>8.1877796607319391E-5</v>
      </c>
      <c r="AA50" t="s">
        <v>30</v>
      </c>
      <c r="AB50">
        <v>14</v>
      </c>
      <c r="AD50" t="s">
        <v>31</v>
      </c>
      <c r="AF50" t="s">
        <v>29</v>
      </c>
    </row>
    <row r="51" spans="1:32" ht="12.95" customHeight="1" x14ac:dyDescent="0.2">
      <c r="A51" t="s">
        <v>34</v>
      </c>
      <c r="C51" s="24">
        <v>42395.517</v>
      </c>
      <c r="D51" s="9" t="s">
        <v>33</v>
      </c>
      <c r="E51">
        <f t="shared" si="1"/>
        <v>61.995080060940687</v>
      </c>
      <c r="F51">
        <f t="shared" si="2"/>
        <v>62</v>
      </c>
      <c r="G51" s="9">
        <f t="shared" si="5"/>
        <v>-2.7362000000721309E-2</v>
      </c>
      <c r="I51">
        <f t="shared" si="6"/>
        <v>-2.7362000000721309E-2</v>
      </c>
      <c r="P51">
        <f t="shared" si="3"/>
        <v>5.9360349537522653E-3</v>
      </c>
      <c r="Q51" s="2">
        <f t="shared" si="4"/>
        <v>27377.017</v>
      </c>
      <c r="R51">
        <f t="shared" si="7"/>
        <v>1.1087591318293438E-3</v>
      </c>
      <c r="AA51" t="s">
        <v>30</v>
      </c>
      <c r="AB51">
        <v>9</v>
      </c>
      <c r="AD51" t="s">
        <v>27</v>
      </c>
      <c r="AF51" t="s">
        <v>29</v>
      </c>
    </row>
    <row r="52" spans="1:32" ht="12.95" customHeight="1" x14ac:dyDescent="0.2">
      <c r="A52" t="s">
        <v>35</v>
      </c>
      <c r="C52" s="24">
        <v>42473.411</v>
      </c>
      <c r="D52" s="9"/>
      <c r="E52">
        <f t="shared" si="1"/>
        <v>76.001137113317881</v>
      </c>
      <c r="F52">
        <f t="shared" si="2"/>
        <v>76</v>
      </c>
      <c r="G52" s="9">
        <f t="shared" si="5"/>
        <v>6.3240000017685816E-3</v>
      </c>
      <c r="I52">
        <f t="shared" si="6"/>
        <v>6.3240000017685816E-3</v>
      </c>
      <c r="P52">
        <f t="shared" si="3"/>
        <v>4.9261284323035212E-3</v>
      </c>
      <c r="Q52" s="2">
        <f t="shared" si="4"/>
        <v>27454.911</v>
      </c>
      <c r="R52">
        <f t="shared" si="7"/>
        <v>1.954044924718711E-6</v>
      </c>
      <c r="AA52" t="s">
        <v>30</v>
      </c>
      <c r="AF52" t="s">
        <v>36</v>
      </c>
    </row>
    <row r="53" spans="1:32" ht="12.95" customHeight="1" x14ac:dyDescent="0.2">
      <c r="A53" t="s">
        <v>37</v>
      </c>
      <c r="C53" s="24">
        <v>42473.440999999999</v>
      </c>
      <c r="D53" s="9"/>
      <c r="E53">
        <f t="shared" ref="E53:E81" si="8">+(C53-C$7)/C$8</f>
        <v>76.006531389020182</v>
      </c>
      <c r="F53">
        <f t="shared" ref="F53:F82" si="9">ROUND(2*E53,0)/2</f>
        <v>76</v>
      </c>
      <c r="G53" s="9">
        <f t="shared" si="5"/>
        <v>3.6324000000604428E-2</v>
      </c>
      <c r="I53">
        <f t="shared" si="6"/>
        <v>3.6324000000604428E-2</v>
      </c>
      <c r="P53">
        <f t="shared" ref="P53:P81" si="10">+D$11+D$12*F53+D$13*F53^2</f>
        <v>4.9261284323035212E-3</v>
      </c>
      <c r="Q53" s="2">
        <f t="shared" ref="Q53:Q81" si="11">+C53-15018.5</f>
        <v>27454.940999999999</v>
      </c>
      <c r="R53">
        <f t="shared" si="7"/>
        <v>9.8582633901951838E-4</v>
      </c>
      <c r="AB53">
        <v>10</v>
      </c>
      <c r="AD53" t="s">
        <v>27</v>
      </c>
      <c r="AF53" t="s">
        <v>29</v>
      </c>
    </row>
    <row r="54" spans="1:32" ht="12.95" customHeight="1" x14ac:dyDescent="0.2">
      <c r="A54" t="s">
        <v>38</v>
      </c>
      <c r="C54" s="24">
        <v>42812.644</v>
      </c>
      <c r="D54" s="9"/>
      <c r="E54">
        <f t="shared" si="8"/>
        <v>136.99834809297053</v>
      </c>
      <c r="F54">
        <f t="shared" si="9"/>
        <v>137</v>
      </c>
      <c r="G54" s="9">
        <f t="shared" si="5"/>
        <v>-9.1870000032940879E-3</v>
      </c>
      <c r="I54">
        <f t="shared" si="6"/>
        <v>-9.1870000032940879E-3</v>
      </c>
      <c r="P54">
        <f t="shared" si="10"/>
        <v>6.0374087069901968E-4</v>
      </c>
      <c r="Q54" s="2">
        <f t="shared" si="11"/>
        <v>27794.144</v>
      </c>
      <c r="R54">
        <f t="shared" si="7"/>
        <v>9.5858606861679333E-5</v>
      </c>
      <c r="AA54" t="s">
        <v>30</v>
      </c>
      <c r="AF54" t="s">
        <v>36</v>
      </c>
    </row>
    <row r="55" spans="1:32" ht="12.95" customHeight="1" x14ac:dyDescent="0.2">
      <c r="A55" t="s">
        <v>39</v>
      </c>
      <c r="C55" s="24">
        <v>42829.332000000002</v>
      </c>
      <c r="D55" s="9"/>
      <c r="E55">
        <f t="shared" si="8"/>
        <v>139.9990038570871</v>
      </c>
      <c r="F55">
        <f t="shared" si="9"/>
        <v>140</v>
      </c>
      <c r="G55" s="9">
        <f t="shared" si="5"/>
        <v>-5.5399999982910231E-3</v>
      </c>
      <c r="I55">
        <f t="shared" si="6"/>
        <v>-5.5399999982910231E-3</v>
      </c>
      <c r="P55">
        <f t="shared" si="10"/>
        <v>3.9443449434555552E-4</v>
      </c>
      <c r="Q55" s="2">
        <f t="shared" si="11"/>
        <v>27810.832000000002</v>
      </c>
      <c r="R55">
        <f t="shared" si="7"/>
        <v>3.5217512747394767E-5</v>
      </c>
      <c r="AA55" t="s">
        <v>30</v>
      </c>
      <c r="AB55">
        <v>6</v>
      </c>
      <c r="AD55" t="s">
        <v>27</v>
      </c>
      <c r="AF55" t="s">
        <v>29</v>
      </c>
    </row>
    <row r="56" spans="1:32" ht="12.95" customHeight="1" x14ac:dyDescent="0.2">
      <c r="A56" t="s">
        <v>40</v>
      </c>
      <c r="C56" s="24">
        <v>42840.453999999998</v>
      </c>
      <c r="D56" s="9"/>
      <c r="E56">
        <f t="shared" si="8"/>
        <v>141.99884166919691</v>
      </c>
      <c r="F56">
        <f t="shared" si="9"/>
        <v>142</v>
      </c>
      <c r="G56" s="9">
        <f t="shared" si="5"/>
        <v>-6.4420000053360127E-3</v>
      </c>
      <c r="I56">
        <f t="shared" si="6"/>
        <v>-6.4420000053360127E-3</v>
      </c>
      <c r="P56">
        <f t="shared" si="10"/>
        <v>2.5506722579233382E-4</v>
      </c>
      <c r="Q56" s="2">
        <f t="shared" si="11"/>
        <v>27821.953999999998</v>
      </c>
      <c r="R56">
        <f t="shared" si="7"/>
        <v>4.4850709498253096E-5</v>
      </c>
      <c r="AA56" t="s">
        <v>30</v>
      </c>
      <c r="AB56">
        <v>6</v>
      </c>
      <c r="AD56" t="s">
        <v>27</v>
      </c>
      <c r="AF56" t="s">
        <v>29</v>
      </c>
    </row>
    <row r="57" spans="1:32" ht="12.95" customHeight="1" x14ac:dyDescent="0.2">
      <c r="A57" s="92" t="s">
        <v>286</v>
      </c>
      <c r="B57" s="93" t="s">
        <v>54</v>
      </c>
      <c r="C57" s="92">
        <v>43213.088000000003</v>
      </c>
      <c r="D57" s="92" t="s">
        <v>146</v>
      </c>
      <c r="E57">
        <f t="shared" si="8"/>
        <v>209.00185940683505</v>
      </c>
      <c r="F57">
        <f t="shared" si="9"/>
        <v>209</v>
      </c>
      <c r="G57" s="9">
        <f t="shared" si="5"/>
        <v>1.0341000001062639E-2</v>
      </c>
      <c r="I57">
        <f t="shared" si="6"/>
        <v>1.0341000001062639E-2</v>
      </c>
      <c r="P57">
        <f t="shared" si="10"/>
        <v>-4.3349993307570719E-3</v>
      </c>
      <c r="Q57" s="2">
        <f t="shared" si="11"/>
        <v>28194.588000000003</v>
      </c>
      <c r="R57">
        <f t="shared" si="7"/>
        <v>2.1538495638757259E-4</v>
      </c>
    </row>
    <row r="58" spans="1:32" ht="12.95" customHeight="1" x14ac:dyDescent="0.2">
      <c r="A58" t="s">
        <v>41</v>
      </c>
      <c r="C58" s="24">
        <v>43552.336000000003</v>
      </c>
      <c r="D58" s="9"/>
      <c r="E58">
        <f t="shared" si="8"/>
        <v>270.00176752433885</v>
      </c>
      <c r="F58">
        <f t="shared" si="9"/>
        <v>270</v>
      </c>
      <c r="G58" s="9">
        <f t="shared" si="5"/>
        <v>9.8300000026938505E-3</v>
      </c>
      <c r="I58">
        <f t="shared" si="6"/>
        <v>9.8300000026938505E-3</v>
      </c>
      <c r="P58">
        <f t="shared" si="10"/>
        <v>-8.3810326660642802E-3</v>
      </c>
      <c r="Q58" s="2">
        <f t="shared" si="11"/>
        <v>28533.836000000003</v>
      </c>
      <c r="R58">
        <f t="shared" si="7"/>
        <v>3.3164171086257587E-4</v>
      </c>
      <c r="AA58" t="s">
        <v>30</v>
      </c>
      <c r="AB58">
        <v>6</v>
      </c>
      <c r="AD58" t="s">
        <v>27</v>
      </c>
      <c r="AF58" t="s">
        <v>29</v>
      </c>
    </row>
    <row r="59" spans="1:32" ht="12.95" customHeight="1" x14ac:dyDescent="0.2">
      <c r="A59" t="s">
        <v>42</v>
      </c>
      <c r="C59" s="24">
        <v>44731.341</v>
      </c>
      <c r="D59" s="9"/>
      <c r="E59">
        <f t="shared" si="8"/>
        <v>481.99770167893223</v>
      </c>
      <c r="F59">
        <f t="shared" si="9"/>
        <v>482</v>
      </c>
      <c r="G59" s="9">
        <f t="shared" si="5"/>
        <v>-1.2781999997969251E-2</v>
      </c>
      <c r="I59">
        <f t="shared" si="6"/>
        <v>-1.2781999997969251E-2</v>
      </c>
      <c r="P59">
        <f t="shared" si="10"/>
        <v>-2.1456937673056869E-2</v>
      </c>
      <c r="Q59" s="2">
        <f t="shared" si="11"/>
        <v>29712.841</v>
      </c>
      <c r="R59">
        <f t="shared" si="7"/>
        <v>7.5254543666654578E-5</v>
      </c>
      <c r="AA59" t="s">
        <v>30</v>
      </c>
      <c r="AB59">
        <v>6</v>
      </c>
      <c r="AD59" t="s">
        <v>27</v>
      </c>
      <c r="AF59" t="s">
        <v>29</v>
      </c>
    </row>
    <row r="60" spans="1:32" ht="12.95" customHeight="1" x14ac:dyDescent="0.2">
      <c r="A60" t="s">
        <v>43</v>
      </c>
      <c r="C60" s="24">
        <v>45048.345000000001</v>
      </c>
      <c r="D60" s="9"/>
      <c r="E60">
        <f t="shared" si="8"/>
        <v>538.99793417221508</v>
      </c>
      <c r="F60">
        <f t="shared" si="9"/>
        <v>539</v>
      </c>
      <c r="G60" s="9">
        <f t="shared" si="5"/>
        <v>-1.1488999996799976E-2</v>
      </c>
      <c r="I60">
        <f t="shared" si="6"/>
        <v>-1.1488999996799976E-2</v>
      </c>
      <c r="P60">
        <f t="shared" si="10"/>
        <v>-2.4711484077759159E-2</v>
      </c>
      <c r="Q60" s="2">
        <f t="shared" si="11"/>
        <v>30029.845000000001</v>
      </c>
      <c r="R60">
        <f t="shared" si="7"/>
        <v>1.7483408527121903E-4</v>
      </c>
      <c r="AA60" t="s">
        <v>30</v>
      </c>
      <c r="AB60">
        <v>7</v>
      </c>
      <c r="AD60" t="s">
        <v>27</v>
      </c>
      <c r="AF60" t="s">
        <v>29</v>
      </c>
    </row>
    <row r="61" spans="1:32" ht="12.95" customHeight="1" x14ac:dyDescent="0.2">
      <c r="A61" t="s">
        <v>44</v>
      </c>
      <c r="C61" s="24">
        <v>45298.601000000002</v>
      </c>
      <c r="D61" s="9"/>
      <c r="E61">
        <f t="shared" si="8"/>
        <v>583.99626284579358</v>
      </c>
      <c r="F61">
        <f t="shared" si="9"/>
        <v>584</v>
      </c>
      <c r="G61" s="9">
        <f t="shared" si="5"/>
        <v>-2.0784000000276137E-2</v>
      </c>
      <c r="I61">
        <f t="shared" si="6"/>
        <v>-2.0784000000276137E-2</v>
      </c>
      <c r="P61">
        <f t="shared" si="10"/>
        <v>-2.7202687920082076E-2</v>
      </c>
      <c r="Q61" s="2">
        <f t="shared" si="11"/>
        <v>30280.101000000002</v>
      </c>
      <c r="R61">
        <f t="shared" si="7"/>
        <v>4.1199554611862691E-5</v>
      </c>
      <c r="AA61" t="s">
        <v>30</v>
      </c>
      <c r="AB61">
        <v>6</v>
      </c>
      <c r="AD61" t="s">
        <v>27</v>
      </c>
      <c r="AF61" t="s">
        <v>29</v>
      </c>
    </row>
    <row r="62" spans="1:32" ht="12.95" customHeight="1" x14ac:dyDescent="0.2">
      <c r="A62" t="s">
        <v>45</v>
      </c>
      <c r="C62" s="24">
        <v>45693.457000000002</v>
      </c>
      <c r="D62" s="9"/>
      <c r="E62">
        <f t="shared" si="8"/>
        <v>654.99500040546991</v>
      </c>
      <c r="F62">
        <f t="shared" si="9"/>
        <v>655</v>
      </c>
      <c r="G62" s="9">
        <f t="shared" si="5"/>
        <v>-2.7804999997897539E-2</v>
      </c>
      <c r="I62">
        <f t="shared" si="6"/>
        <v>-2.7804999997897539E-2</v>
      </c>
      <c r="P62">
        <f t="shared" si="10"/>
        <v>-3.0992981986371355E-2</v>
      </c>
      <c r="Q62" s="2">
        <f t="shared" si="11"/>
        <v>30674.957000000002</v>
      </c>
      <c r="R62">
        <f t="shared" si="7"/>
        <v>1.0163229158833467E-5</v>
      </c>
      <c r="AA62" t="s">
        <v>30</v>
      </c>
      <c r="AB62">
        <v>6</v>
      </c>
      <c r="AD62" t="s">
        <v>27</v>
      </c>
      <c r="AF62" t="s">
        <v>29</v>
      </c>
    </row>
    <row r="63" spans="1:32" ht="12.95" customHeight="1" x14ac:dyDescent="0.2">
      <c r="A63" t="s">
        <v>46</v>
      </c>
      <c r="C63" s="24">
        <v>46744.580999999998</v>
      </c>
      <c r="D63" s="9"/>
      <c r="E63">
        <f t="shared" si="8"/>
        <v>843.99675552297367</v>
      </c>
      <c r="F63">
        <f t="shared" si="9"/>
        <v>844</v>
      </c>
      <c r="G63" s="9">
        <f t="shared" si="5"/>
        <v>-1.8044000004010741E-2</v>
      </c>
      <c r="I63">
        <f t="shared" si="6"/>
        <v>-1.8044000004010741E-2</v>
      </c>
      <c r="P63">
        <f t="shared" si="10"/>
        <v>-4.0245706758566729E-2</v>
      </c>
      <c r="Q63" s="2">
        <f t="shared" si="11"/>
        <v>31726.080999999998</v>
      </c>
      <c r="R63">
        <f t="shared" si="7"/>
        <v>4.9291578281529698E-4</v>
      </c>
      <c r="AA63" t="s">
        <v>30</v>
      </c>
      <c r="AB63">
        <v>6</v>
      </c>
      <c r="AD63" t="s">
        <v>27</v>
      </c>
      <c r="AF63" t="s">
        <v>29</v>
      </c>
    </row>
    <row r="64" spans="1:32" ht="12.95" customHeight="1" x14ac:dyDescent="0.2">
      <c r="A64" t="s">
        <v>47</v>
      </c>
      <c r="C64" s="24">
        <v>46861.362999999998</v>
      </c>
      <c r="D64" s="9"/>
      <c r="E64">
        <f t="shared" si="8"/>
        <v>864.99523235932429</v>
      </c>
      <c r="F64">
        <f t="shared" si="9"/>
        <v>865</v>
      </c>
      <c r="G64" s="9">
        <f t="shared" si="5"/>
        <v>-2.6515000005019829E-2</v>
      </c>
      <c r="I64">
        <f t="shared" si="6"/>
        <v>-2.6515000005019829E-2</v>
      </c>
      <c r="P64">
        <f t="shared" si="10"/>
        <v>-4.1198678072862732E-2</v>
      </c>
      <c r="Q64" s="2">
        <f t="shared" si="11"/>
        <v>31842.862999999998</v>
      </c>
      <c r="R64">
        <f t="shared" si="7"/>
        <v>2.1561040160005072E-4</v>
      </c>
      <c r="AA64" t="s">
        <v>30</v>
      </c>
      <c r="AB64">
        <v>7</v>
      </c>
      <c r="AD64" t="s">
        <v>27</v>
      </c>
      <c r="AF64" t="s">
        <v>29</v>
      </c>
    </row>
    <row r="65" spans="1:32" ht="12.95" customHeight="1" x14ac:dyDescent="0.2">
      <c r="A65" t="s">
        <v>48</v>
      </c>
      <c r="C65" s="24">
        <v>47595.428999999996</v>
      </c>
      <c r="D65" s="9"/>
      <c r="E65">
        <f t="shared" si="8"/>
        <v>996.98704528728115</v>
      </c>
      <c r="F65">
        <f t="shared" si="9"/>
        <v>997</v>
      </c>
      <c r="G65" s="9">
        <f t="shared" si="5"/>
        <v>-7.2047000001475681E-2</v>
      </c>
      <c r="I65">
        <f t="shared" si="6"/>
        <v>-7.2047000001475681E-2</v>
      </c>
      <c r="P65">
        <f t="shared" si="10"/>
        <v>-4.6844813924790361E-2</v>
      </c>
      <c r="Q65" s="2">
        <f t="shared" si="11"/>
        <v>32576.928999999996</v>
      </c>
      <c r="R65">
        <f t="shared" si="7"/>
        <v>6.3515018304387142E-4</v>
      </c>
      <c r="AA65" t="s">
        <v>30</v>
      </c>
      <c r="AB65">
        <v>4</v>
      </c>
      <c r="AD65" t="s">
        <v>27</v>
      </c>
      <c r="AF65" t="s">
        <v>29</v>
      </c>
    </row>
    <row r="66" spans="1:32" ht="12.95" customHeight="1" x14ac:dyDescent="0.2">
      <c r="A66" t="s">
        <v>49</v>
      </c>
      <c r="C66" s="24">
        <v>48290.553999999996</v>
      </c>
      <c r="D66" s="9"/>
      <c r="E66">
        <f t="shared" si="8"/>
        <v>1121.9769085441903</v>
      </c>
      <c r="F66">
        <f t="shared" si="9"/>
        <v>1122</v>
      </c>
      <c r="P66">
        <f t="shared" si="10"/>
        <v>-5.164439435176061E-2</v>
      </c>
      <c r="Q66" s="2">
        <f t="shared" si="11"/>
        <v>33272.053999999996</v>
      </c>
      <c r="U66" s="26">
        <v>-0.1284220000015921</v>
      </c>
      <c r="AA66" t="s">
        <v>30</v>
      </c>
      <c r="AF66" t="s">
        <v>36</v>
      </c>
    </row>
    <row r="67" spans="1:32" ht="12.95" customHeight="1" x14ac:dyDescent="0.2">
      <c r="A67" t="s">
        <v>50</v>
      </c>
      <c r="C67" s="24">
        <v>48357.345000000001</v>
      </c>
      <c r="D67" s="9">
        <v>1.0999999999999999E-2</v>
      </c>
      <c r="E67">
        <f t="shared" si="8"/>
        <v>1133.9865441590694</v>
      </c>
      <c r="F67">
        <f t="shared" si="9"/>
        <v>1134</v>
      </c>
      <c r="G67" s="9">
        <f t="shared" ref="G67:G73" si="12">+C67-(C$7+F67*C$8)</f>
        <v>-7.4833999999100342E-2</v>
      </c>
      <c r="I67">
        <f>+G67</f>
        <v>-7.4833999999100342E-2</v>
      </c>
      <c r="P67">
        <f t="shared" si="10"/>
        <v>-5.2077154174559645E-2</v>
      </c>
      <c r="Q67" s="2">
        <f t="shared" si="11"/>
        <v>33338.845000000001</v>
      </c>
      <c r="R67">
        <f t="shared" ref="R67:R73" si="13">+(P67-G67)^2</f>
        <v>5.1787403188191538E-4</v>
      </c>
      <c r="AA67" t="s">
        <v>30</v>
      </c>
      <c r="AB67">
        <v>8</v>
      </c>
      <c r="AD67" t="s">
        <v>27</v>
      </c>
      <c r="AF67" t="s">
        <v>29</v>
      </c>
    </row>
    <row r="68" spans="1:32" ht="12.95" customHeight="1" x14ac:dyDescent="0.2">
      <c r="A68" t="s">
        <v>50</v>
      </c>
      <c r="C68" s="24">
        <v>48357.355000000003</v>
      </c>
      <c r="D68" s="9"/>
      <c r="E68">
        <f t="shared" si="8"/>
        <v>1133.9883422509704</v>
      </c>
      <c r="F68">
        <f t="shared" si="9"/>
        <v>1134</v>
      </c>
      <c r="G68" s="9">
        <f t="shared" si="12"/>
        <v>-6.4833999997063074E-2</v>
      </c>
      <c r="I68">
        <f>+G68</f>
        <v>-6.4833999997063074E-2</v>
      </c>
      <c r="P68">
        <f t="shared" si="10"/>
        <v>-5.2077154174559645E-2</v>
      </c>
      <c r="Q68" s="2">
        <f t="shared" si="11"/>
        <v>33338.855000000003</v>
      </c>
      <c r="R68">
        <f t="shared" si="13"/>
        <v>1.6273711533912319E-4</v>
      </c>
      <c r="AA68" t="s">
        <v>30</v>
      </c>
      <c r="AB68">
        <v>11</v>
      </c>
      <c r="AD68" t="s">
        <v>31</v>
      </c>
      <c r="AF68" t="s">
        <v>29</v>
      </c>
    </row>
    <row r="69" spans="1:32" ht="12.95" customHeight="1" x14ac:dyDescent="0.2">
      <c r="A69" t="s">
        <v>51</v>
      </c>
      <c r="C69" s="24">
        <v>50487.387000000002</v>
      </c>
      <c r="D69" s="9">
        <v>6.0000000000000001E-3</v>
      </c>
      <c r="E69">
        <f t="shared" si="8"/>
        <v>1516.9876710232638</v>
      </c>
      <c r="F69">
        <f t="shared" si="9"/>
        <v>1517</v>
      </c>
      <c r="G69" s="9">
        <f t="shared" si="12"/>
        <v>-6.8566999994800426E-2</v>
      </c>
      <c r="I69">
        <f>+G69</f>
        <v>-6.8566999994800426E-2</v>
      </c>
      <c r="P69">
        <f t="shared" si="10"/>
        <v>-6.3312784384046861E-2</v>
      </c>
      <c r="Q69" s="2">
        <f t="shared" si="11"/>
        <v>35468.887000000002</v>
      </c>
      <c r="R69">
        <f t="shared" si="13"/>
        <v>2.7606781684286462E-5</v>
      </c>
      <c r="AA69" t="s">
        <v>30</v>
      </c>
      <c r="AB69">
        <v>10</v>
      </c>
      <c r="AD69" t="s">
        <v>31</v>
      </c>
      <c r="AF69" t="s">
        <v>29</v>
      </c>
    </row>
    <row r="70" spans="1:32" ht="12.95" customHeight="1" x14ac:dyDescent="0.2">
      <c r="A70" t="s">
        <v>51</v>
      </c>
      <c r="C70" s="24">
        <v>50487.398000000001</v>
      </c>
      <c r="D70" s="9">
        <v>6.0000000000000001E-3</v>
      </c>
      <c r="E70">
        <f t="shared" si="8"/>
        <v>1516.9896489243545</v>
      </c>
      <c r="F70">
        <f t="shared" si="9"/>
        <v>1517</v>
      </c>
      <c r="G70" s="9">
        <f t="shared" si="12"/>
        <v>-5.756699999619741E-2</v>
      </c>
      <c r="I70">
        <f>+G70</f>
        <v>-5.756699999619741E-2</v>
      </c>
      <c r="P70">
        <f t="shared" si="10"/>
        <v>-6.3312784384046861E-2</v>
      </c>
      <c r="Q70" s="2">
        <f t="shared" si="11"/>
        <v>35468.898000000001</v>
      </c>
      <c r="R70">
        <f t="shared" si="13"/>
        <v>3.3014038231654488E-5</v>
      </c>
      <c r="AA70" t="s">
        <v>30</v>
      </c>
      <c r="AB70">
        <v>7</v>
      </c>
      <c r="AD70" t="s">
        <v>27</v>
      </c>
      <c r="AF70" t="s">
        <v>29</v>
      </c>
    </row>
    <row r="71" spans="1:32" ht="12.95" customHeight="1" x14ac:dyDescent="0.2">
      <c r="A71" t="s">
        <v>11</v>
      </c>
      <c r="C71" s="24">
        <f>C54</f>
        <v>42812.644</v>
      </c>
      <c r="D71" s="9" t="s">
        <v>13</v>
      </c>
      <c r="E71">
        <f t="shared" si="8"/>
        <v>136.99834809297053</v>
      </c>
      <c r="F71">
        <f t="shared" si="9"/>
        <v>137</v>
      </c>
      <c r="G71" s="9">
        <f t="shared" si="12"/>
        <v>-9.1870000032940879E-3</v>
      </c>
      <c r="H71">
        <f>+G71</f>
        <v>-9.1870000032940879E-3</v>
      </c>
      <c r="P71">
        <f t="shared" si="10"/>
        <v>6.0374087069901968E-4</v>
      </c>
      <c r="Q71" s="2">
        <f t="shared" si="11"/>
        <v>27794.144</v>
      </c>
      <c r="R71">
        <f t="shared" si="13"/>
        <v>9.5858606861679333E-5</v>
      </c>
    </row>
    <row r="72" spans="1:32" ht="12.95" customHeight="1" x14ac:dyDescent="0.2">
      <c r="A72" s="92" t="s">
        <v>340</v>
      </c>
      <c r="B72" s="93" t="s">
        <v>54</v>
      </c>
      <c r="C72" s="92">
        <v>52022.34</v>
      </c>
      <c r="D72" s="92" t="s">
        <v>146</v>
      </c>
      <c r="E72">
        <f t="shared" si="8"/>
        <v>1792.9863267697576</v>
      </c>
      <c r="F72">
        <f t="shared" si="9"/>
        <v>1793</v>
      </c>
      <c r="G72" s="9">
        <f t="shared" si="12"/>
        <v>-7.6043000008212402E-2</v>
      </c>
      <c r="I72">
        <f>+G72</f>
        <v>-7.6043000008212402E-2</v>
      </c>
      <c r="O72">
        <f t="shared" ref="O72:O78" ca="1" si="14">+C$11+C$12*F72</f>
        <v>-8.6536542157147442E-2</v>
      </c>
      <c r="P72">
        <f t="shared" si="10"/>
        <v>-6.831170898050716E-2</v>
      </c>
      <c r="Q72" s="2">
        <f t="shared" si="11"/>
        <v>37003.839999999997</v>
      </c>
      <c r="R72">
        <f t="shared" si="13"/>
        <v>5.977286095507558E-5</v>
      </c>
    </row>
    <row r="73" spans="1:32" ht="12.95" customHeight="1" x14ac:dyDescent="0.2">
      <c r="A73" s="10" t="s">
        <v>53</v>
      </c>
      <c r="B73" s="11" t="s">
        <v>54</v>
      </c>
      <c r="C73" s="12">
        <v>52667.474000000002</v>
      </c>
      <c r="D73" s="12">
        <v>7.0000000000000001E-3</v>
      </c>
      <c r="E73">
        <f t="shared" si="8"/>
        <v>1908.9873488051951</v>
      </c>
      <c r="F73">
        <f t="shared" si="9"/>
        <v>1909</v>
      </c>
      <c r="G73" s="9">
        <f t="shared" si="12"/>
        <v>-7.0358999997552019E-2</v>
      </c>
      <c r="J73">
        <f>+G73</f>
        <v>-7.0358999997552019E-2</v>
      </c>
      <c r="O73">
        <f t="shared" ca="1" si="14"/>
        <v>-8.1069313322236283E-2</v>
      </c>
      <c r="P73">
        <f t="shared" si="10"/>
        <v>-6.9638246803564133E-2</v>
      </c>
      <c r="Q73" s="2">
        <f t="shared" si="11"/>
        <v>37648.974000000002</v>
      </c>
      <c r="R73">
        <f t="shared" si="13"/>
        <v>5.1948516664373905E-7</v>
      </c>
    </row>
    <row r="74" spans="1:32" ht="12.95" customHeight="1" x14ac:dyDescent="0.2">
      <c r="A74" s="92" t="s">
        <v>349</v>
      </c>
      <c r="B74" s="93" t="s">
        <v>54</v>
      </c>
      <c r="C74" s="92">
        <v>52689.688000000002</v>
      </c>
      <c r="D74" s="92" t="s">
        <v>146</v>
      </c>
      <c r="E74">
        <f t="shared" si="8"/>
        <v>1912.9816301537137</v>
      </c>
      <c r="F74">
        <f t="shared" si="9"/>
        <v>1913</v>
      </c>
      <c r="O74">
        <f t="shared" ca="1" si="14"/>
        <v>-8.0880788189997957E-2</v>
      </c>
      <c r="P74">
        <f t="shared" si="10"/>
        <v>-6.9675814334361597E-2</v>
      </c>
      <c r="Q74" s="2">
        <f t="shared" si="11"/>
        <v>37671.188000000002</v>
      </c>
      <c r="R74">
        <f>+(P74-U74)^2</f>
        <v>1.0554172322089512E-3</v>
      </c>
      <c r="U74" s="9">
        <f>+C74-(C$7+F74*C$8)</f>
        <v>-0.10216299999592593</v>
      </c>
    </row>
    <row r="75" spans="1:32" ht="12.95" customHeight="1" x14ac:dyDescent="0.2">
      <c r="A75" s="75" t="s">
        <v>145</v>
      </c>
      <c r="B75" s="76" t="s">
        <v>54</v>
      </c>
      <c r="C75" s="75">
        <v>53440.517</v>
      </c>
      <c r="D75" s="75" t="s">
        <v>146</v>
      </c>
      <c r="E75">
        <f t="shared" si="8"/>
        <v>2047.987584535043</v>
      </c>
      <c r="F75">
        <f t="shared" si="9"/>
        <v>2048</v>
      </c>
      <c r="G75" s="9">
        <f t="shared" ref="G75:G81" si="15">+C75-(C$7+F75*C$8)</f>
        <v>-6.9047999997565057E-2</v>
      </c>
      <c r="N75">
        <f>+G75</f>
        <v>-6.9047999997565057E-2</v>
      </c>
      <c r="O75">
        <f t="shared" ca="1" si="14"/>
        <v>-7.451806497695479E-2</v>
      </c>
      <c r="P75">
        <f t="shared" si="10"/>
        <v>-7.0624121120711439E-2</v>
      </c>
      <c r="Q75" s="2">
        <f t="shared" si="11"/>
        <v>38422.017</v>
      </c>
      <c r="R75">
        <f t="shared" ref="R75:R81" si="16">+(P75-G75)^2</f>
        <v>2.4841577948282117E-6</v>
      </c>
    </row>
    <row r="76" spans="1:32" ht="12.95" customHeight="1" x14ac:dyDescent="0.2">
      <c r="A76" s="92" t="s">
        <v>355</v>
      </c>
      <c r="B76" s="93" t="s">
        <v>54</v>
      </c>
      <c r="C76" s="92">
        <v>54085.642</v>
      </c>
      <c r="D76" s="92" t="s">
        <v>146</v>
      </c>
      <c r="E76">
        <f t="shared" si="8"/>
        <v>2163.9869882877688</v>
      </c>
      <c r="F76">
        <f t="shared" si="9"/>
        <v>2164</v>
      </c>
      <c r="G76" s="9">
        <f t="shared" si="15"/>
        <v>-7.2363999999652151E-2</v>
      </c>
      <c r="I76">
        <f>+G76</f>
        <v>-7.2363999999652151E-2</v>
      </c>
      <c r="O76">
        <f t="shared" ca="1" si="14"/>
        <v>-6.9050836142043617E-2</v>
      </c>
      <c r="P76">
        <f t="shared" si="10"/>
        <v>-7.0943071366562194E-2</v>
      </c>
      <c r="Q76" s="2">
        <f t="shared" si="11"/>
        <v>39067.142</v>
      </c>
      <c r="R76">
        <f t="shared" si="16"/>
        <v>2.0190381803348945E-6</v>
      </c>
    </row>
    <row r="77" spans="1:32" ht="12.95" customHeight="1" x14ac:dyDescent="0.2">
      <c r="A77" s="12" t="s">
        <v>61</v>
      </c>
      <c r="B77" s="25"/>
      <c r="C77" s="9">
        <v>54202.435799999999</v>
      </c>
      <c r="D77" s="9">
        <v>6.9999999999999999E-4</v>
      </c>
      <c r="E77">
        <f t="shared" si="8"/>
        <v>2184.9875868725621</v>
      </c>
      <c r="F77">
        <f t="shared" si="9"/>
        <v>2185</v>
      </c>
      <c r="G77" s="9">
        <f t="shared" si="15"/>
        <v>-6.903500000044005E-2</v>
      </c>
      <c r="J77">
        <f>+G77</f>
        <v>-6.903500000044005E-2</v>
      </c>
      <c r="O77">
        <f t="shared" ca="1" si="14"/>
        <v>-6.806107919779246E-2</v>
      </c>
      <c r="P77">
        <f t="shared" si="10"/>
        <v>-7.0951812537512815E-2</v>
      </c>
      <c r="Q77" s="2">
        <f t="shared" si="11"/>
        <v>39183.935799999999</v>
      </c>
      <c r="R77">
        <f t="shared" si="16"/>
        <v>3.6741703022793307E-6</v>
      </c>
    </row>
    <row r="78" spans="1:32" ht="12.95" customHeight="1" x14ac:dyDescent="0.2">
      <c r="A78" s="99" t="s">
        <v>64</v>
      </c>
      <c r="B78" s="100" t="s">
        <v>54</v>
      </c>
      <c r="C78" s="99">
        <v>54508.315799999997</v>
      </c>
      <c r="D78" s="99">
        <v>5.9999999999999995E-4</v>
      </c>
      <c r="E78">
        <f t="shared" si="8"/>
        <v>2239.9876219353537</v>
      </c>
      <c r="F78">
        <f t="shared" si="9"/>
        <v>2240</v>
      </c>
      <c r="G78" s="9">
        <f t="shared" si="15"/>
        <v>-6.8840000007185154E-2</v>
      </c>
      <c r="J78">
        <f>+G78</f>
        <v>-6.8840000007185154E-2</v>
      </c>
      <c r="O78">
        <f t="shared" ca="1" si="14"/>
        <v>-6.5468858629515611E-2</v>
      </c>
      <c r="P78">
        <f t="shared" si="10"/>
        <v>-7.0903514125226524E-2</v>
      </c>
      <c r="Q78" s="2">
        <f t="shared" si="11"/>
        <v>39489.815799999997</v>
      </c>
      <c r="R78">
        <f t="shared" si="16"/>
        <v>4.2580905153560557E-6</v>
      </c>
    </row>
    <row r="79" spans="1:32" ht="12.95" customHeight="1" x14ac:dyDescent="0.2">
      <c r="A79" s="99" t="s">
        <v>63</v>
      </c>
      <c r="B79" s="100" t="s">
        <v>54</v>
      </c>
      <c r="C79" s="99">
        <v>54830.881000000001</v>
      </c>
      <c r="D79" s="99">
        <v>6.9999999999999999E-4</v>
      </c>
      <c r="E79">
        <f t="shared" si="8"/>
        <v>2297.9878092965309</v>
      </c>
      <c r="F79">
        <f t="shared" si="9"/>
        <v>2298</v>
      </c>
      <c r="G79" s="9">
        <f t="shared" si="15"/>
        <v>-6.7797999996400904E-2</v>
      </c>
      <c r="J79">
        <f>+G79</f>
        <v>-6.7797999996400904E-2</v>
      </c>
      <c r="O79">
        <f ca="1">+C$11+C$12*F79</f>
        <v>-6.2735244212060032E-2</v>
      </c>
      <c r="P79">
        <f t="shared" si="10"/>
        <v>-7.0740956355829138E-2</v>
      </c>
      <c r="Q79" s="2">
        <f t="shared" si="11"/>
        <v>39812.381000000001</v>
      </c>
      <c r="R79">
        <f t="shared" si="16"/>
        <v>8.6609921334990827E-6</v>
      </c>
    </row>
    <row r="80" spans="1:32" ht="12.95" customHeight="1" x14ac:dyDescent="0.2">
      <c r="A80" s="101" t="s">
        <v>144</v>
      </c>
      <c r="B80" s="102" t="s">
        <v>54</v>
      </c>
      <c r="C80" s="101">
        <v>55648.419699999999</v>
      </c>
      <c r="D80" s="101">
        <v>2.0999999999999999E-3</v>
      </c>
      <c r="E80">
        <f t="shared" si="8"/>
        <v>2444.9887808055842</v>
      </c>
      <c r="F80">
        <f t="shared" si="9"/>
        <v>2445</v>
      </c>
      <c r="G80" s="9">
        <f t="shared" si="15"/>
        <v>-6.2395000000833534E-2</v>
      </c>
      <c r="J80">
        <f>+G80</f>
        <v>-6.2395000000833534E-2</v>
      </c>
      <c r="O80">
        <f ca="1">+C$11+C$12*F80</f>
        <v>-5.5806945602301899E-2</v>
      </c>
      <c r="P80">
        <f t="shared" si="10"/>
        <v>-6.9815710183034119E-2</v>
      </c>
      <c r="Q80" s="2">
        <f t="shared" si="11"/>
        <v>40629.919699999999</v>
      </c>
      <c r="R80">
        <f t="shared" si="16"/>
        <v>5.5066939608215436E-5</v>
      </c>
    </row>
    <row r="81" spans="1:18" ht="12.95" customHeight="1" x14ac:dyDescent="0.2">
      <c r="A81" s="103" t="s">
        <v>147</v>
      </c>
      <c r="B81" s="104" t="s">
        <v>54</v>
      </c>
      <c r="C81" s="103">
        <v>56727.348700000002</v>
      </c>
      <c r="D81" s="103">
        <v>1.06E-2</v>
      </c>
      <c r="E81">
        <f t="shared" si="8"/>
        <v>2638.9901304533655</v>
      </c>
      <c r="F81">
        <f t="shared" si="9"/>
        <v>2639</v>
      </c>
      <c r="G81" s="9">
        <f t="shared" si="15"/>
        <v>-5.4888999999093357E-2</v>
      </c>
      <c r="J81">
        <f>+G81</f>
        <v>-5.4888999999093357E-2</v>
      </c>
      <c r="O81">
        <f ca="1">+C$11+C$12*F81</f>
        <v>-4.6663476688743571E-2</v>
      </c>
      <c r="P81">
        <f t="shared" si="10"/>
        <v>-6.7467930637118839E-2</v>
      </c>
      <c r="Q81" s="2">
        <f t="shared" si="11"/>
        <v>41708.848700000002</v>
      </c>
      <c r="R81">
        <f t="shared" si="16"/>
        <v>1.5822949599625616E-4</v>
      </c>
    </row>
    <row r="82" spans="1:18" ht="12.95" customHeight="1" x14ac:dyDescent="0.2">
      <c r="A82" s="105" t="s">
        <v>391</v>
      </c>
      <c r="B82" s="106" t="s">
        <v>54</v>
      </c>
      <c r="C82" s="107">
        <v>58957.526700000002</v>
      </c>
      <c r="D82" s="107">
        <v>8.0000000000000004E-4</v>
      </c>
      <c r="E82">
        <f>+(C82-C$7)/C$8</f>
        <v>3039.9966303757778</v>
      </c>
      <c r="F82">
        <f t="shared" si="9"/>
        <v>3040</v>
      </c>
      <c r="G82" s="9">
        <f>+C82-(C$7+F82*C$8)</f>
        <v>-1.8739999999525025E-2</v>
      </c>
      <c r="K82">
        <f>+G82</f>
        <v>-1.8739999999525025E-2</v>
      </c>
      <c r="O82">
        <f ca="1">+C$11+C$12*F82</f>
        <v>-2.7763832181852383E-2</v>
      </c>
      <c r="P82">
        <f>+D$11+D$12*F82+D$13*F82^2</f>
        <v>-5.8551399087060918E-2</v>
      </c>
      <c r="Q82" s="2">
        <f>+C82-15018.5</f>
        <v>43939.026700000002</v>
      </c>
      <c r="R82">
        <f>+(P82-G82)^2</f>
        <v>1.5849474973070538E-3</v>
      </c>
    </row>
    <row r="83" spans="1:18" ht="12.95" customHeight="1" x14ac:dyDescent="0.2">
      <c r="A83" s="108" t="s">
        <v>392</v>
      </c>
      <c r="B83" s="109" t="s">
        <v>54</v>
      </c>
      <c r="C83" s="110">
        <v>59274.525399999999</v>
      </c>
      <c r="D83" s="111">
        <v>2.5000000000000001E-3</v>
      </c>
      <c r="E83">
        <f t="shared" ref="E83" si="17">+(C83-C$7)/C$8</f>
        <v>3096.9959098803529</v>
      </c>
      <c r="F83">
        <f t="shared" ref="F83" si="18">ROUND(2*E83,0)/2</f>
        <v>3097</v>
      </c>
      <c r="G83" s="9">
        <f t="shared" ref="G83" si="19">+C83-(C$7+F83*C$8)</f>
        <v>-2.2747000002709683E-2</v>
      </c>
      <c r="K83">
        <f t="shared" ref="K83" si="20">+G83</f>
        <v>-2.2747000002709683E-2</v>
      </c>
      <c r="O83">
        <f t="shared" ref="O83" ca="1" si="21">+C$11+C$12*F83</f>
        <v>-2.5077349047456371E-2</v>
      </c>
      <c r="P83">
        <f t="shared" ref="P83" si="22">+D$11+D$12*F83+D$13*F83^2</f>
        <v>-5.6839335813530317E-2</v>
      </c>
      <c r="Q83" s="2">
        <f t="shared" ref="Q83" si="23">+C83-15018.5</f>
        <v>44256.025399999999</v>
      </c>
      <c r="R83">
        <f t="shared" ref="R83" si="24">+(P83-G83)^2</f>
        <v>1.162287361037763E-3</v>
      </c>
    </row>
    <row r="84" spans="1:18" ht="12.95" customHeight="1" x14ac:dyDescent="0.2">
      <c r="B84" s="16"/>
      <c r="C84" s="24"/>
      <c r="D84" s="9"/>
    </row>
    <row r="85" spans="1:18" ht="12.95" customHeight="1" x14ac:dyDescent="0.2">
      <c r="B85" s="16"/>
      <c r="C85" s="24"/>
      <c r="D85" s="9"/>
    </row>
    <row r="86" spans="1:18" ht="12.95" customHeight="1" x14ac:dyDescent="0.2">
      <c r="B86" s="16"/>
      <c r="C86" s="24"/>
      <c r="D86" s="9"/>
    </row>
    <row r="87" spans="1:18" ht="12.95" customHeight="1" x14ac:dyDescent="0.2">
      <c r="B87" s="16"/>
      <c r="C87" s="24"/>
      <c r="D87" s="9"/>
    </row>
    <row r="88" spans="1:18" ht="12.95" customHeight="1" x14ac:dyDescent="0.2">
      <c r="B88" s="16"/>
      <c r="C88" s="24"/>
      <c r="D88" s="9"/>
    </row>
    <row r="89" spans="1:18" ht="12.95" customHeight="1" x14ac:dyDescent="0.2">
      <c r="B89" s="16"/>
      <c r="C89" s="24"/>
      <c r="D89" s="9"/>
    </row>
    <row r="90" spans="1:18" ht="12.95" customHeight="1" x14ac:dyDescent="0.2">
      <c r="B90" s="16"/>
      <c r="C90" s="24"/>
      <c r="D90" s="9"/>
    </row>
    <row r="91" spans="1:18" ht="12.95" customHeight="1" x14ac:dyDescent="0.2">
      <c r="B91" s="16"/>
      <c r="C91" s="24"/>
      <c r="D91" s="9"/>
    </row>
    <row r="92" spans="1:18" ht="12.95" customHeight="1" x14ac:dyDescent="0.2">
      <c r="B92" s="16"/>
      <c r="C92" s="24"/>
      <c r="D92" s="9"/>
    </row>
    <row r="93" spans="1:18" ht="12.95" customHeight="1" x14ac:dyDescent="0.2">
      <c r="B93" s="16"/>
      <c r="C93" s="24"/>
      <c r="D93" s="9"/>
    </row>
    <row r="94" spans="1:18" ht="12.95" customHeight="1" x14ac:dyDescent="0.2">
      <c r="B94" s="16"/>
      <c r="C94" s="9"/>
      <c r="D94" s="9"/>
    </row>
    <row r="95" spans="1:18" ht="12.95" customHeight="1" x14ac:dyDescent="0.2">
      <c r="B95" s="16"/>
      <c r="C95" s="9"/>
      <c r="D95" s="9"/>
    </row>
    <row r="96" spans="1:18" ht="12.95" customHeight="1" x14ac:dyDescent="0.2">
      <c r="B96" s="16"/>
      <c r="C96" s="9"/>
      <c r="D96" s="9"/>
    </row>
    <row r="97" spans="2:4" ht="12.95" customHeight="1" x14ac:dyDescent="0.2">
      <c r="B97" s="16"/>
      <c r="C97" s="9"/>
      <c r="D97" s="9"/>
    </row>
    <row r="98" spans="2:4" ht="12.95" customHeight="1" x14ac:dyDescent="0.2">
      <c r="B98" s="16"/>
      <c r="C98" s="9"/>
      <c r="D98" s="9"/>
    </row>
    <row r="99" spans="2:4" ht="12.95" customHeight="1" x14ac:dyDescent="0.2">
      <c r="B99" s="16"/>
      <c r="C99" s="9"/>
      <c r="D99" s="9"/>
    </row>
    <row r="100" spans="2:4" ht="12.95" customHeight="1" x14ac:dyDescent="0.2">
      <c r="B100" s="16"/>
      <c r="C100" s="9"/>
      <c r="D100" s="9"/>
    </row>
    <row r="101" spans="2:4" ht="12.95" customHeight="1" x14ac:dyDescent="0.2">
      <c r="B101" s="16"/>
      <c r="C101" s="9"/>
      <c r="D101" s="9"/>
    </row>
    <row r="102" spans="2:4" ht="12.95" customHeight="1" x14ac:dyDescent="0.2">
      <c r="B102" s="16"/>
    </row>
    <row r="103" spans="2:4" ht="12.95" customHeight="1" x14ac:dyDescent="0.2">
      <c r="B103" s="16"/>
    </row>
    <row r="104" spans="2:4" ht="12.95" customHeight="1" x14ac:dyDescent="0.2">
      <c r="B104" s="16"/>
    </row>
    <row r="105" spans="2:4" ht="12.95" customHeight="1" x14ac:dyDescent="0.2">
      <c r="B105" s="16"/>
    </row>
    <row r="106" spans="2:4" ht="12.95" customHeight="1" x14ac:dyDescent="0.2">
      <c r="B106" s="16"/>
    </row>
    <row r="107" spans="2:4" ht="12.95" customHeight="1" x14ac:dyDescent="0.2">
      <c r="B107" s="16"/>
    </row>
    <row r="108" spans="2:4" ht="12.95" customHeight="1" x14ac:dyDescent="0.2">
      <c r="B108" s="16"/>
    </row>
    <row r="109" spans="2:4" ht="12.95" customHeight="1" x14ac:dyDescent="0.2">
      <c r="B109" s="16"/>
    </row>
    <row r="110" spans="2:4" ht="12.95" customHeight="1" x14ac:dyDescent="0.2">
      <c r="B110" s="16"/>
    </row>
    <row r="111" spans="2:4" ht="12.95" customHeight="1" x14ac:dyDescent="0.2">
      <c r="B111" s="16"/>
    </row>
    <row r="112" spans="2:4" ht="12.95" customHeight="1" x14ac:dyDescent="0.2">
      <c r="B112" s="16"/>
    </row>
    <row r="113" spans="2:2" ht="12.95" customHeight="1" x14ac:dyDescent="0.2">
      <c r="B113" s="16"/>
    </row>
    <row r="114" spans="2:2" ht="12.95" customHeight="1" x14ac:dyDescent="0.2">
      <c r="B114" s="16"/>
    </row>
    <row r="115" spans="2:2" ht="12.95" customHeight="1" x14ac:dyDescent="0.2">
      <c r="B115" s="16"/>
    </row>
    <row r="116" spans="2:2" ht="12.95" customHeight="1" x14ac:dyDescent="0.2">
      <c r="B116" s="16"/>
    </row>
    <row r="117" spans="2:2" ht="12.95" customHeight="1" x14ac:dyDescent="0.2">
      <c r="B117" s="16"/>
    </row>
    <row r="118" spans="2:2" ht="12.95" customHeight="1" x14ac:dyDescent="0.2">
      <c r="B118" s="16"/>
    </row>
    <row r="119" spans="2:2" ht="12.95" customHeight="1" x14ac:dyDescent="0.2">
      <c r="B119" s="16"/>
    </row>
    <row r="120" spans="2:2" ht="12.95" customHeight="1" x14ac:dyDescent="0.2">
      <c r="B120" s="16"/>
    </row>
    <row r="121" spans="2:2" ht="12.95" customHeight="1" x14ac:dyDescent="0.2">
      <c r="B121" s="16"/>
    </row>
    <row r="122" spans="2:2" ht="12.95" customHeight="1" x14ac:dyDescent="0.2">
      <c r="B122" s="16"/>
    </row>
    <row r="123" spans="2:2" ht="12.95" customHeight="1" x14ac:dyDescent="0.2">
      <c r="B123" s="16"/>
    </row>
    <row r="124" spans="2:2" ht="12.95" customHeight="1" x14ac:dyDescent="0.2">
      <c r="B124" s="16"/>
    </row>
    <row r="125" spans="2:2" ht="12.95" customHeight="1" x14ac:dyDescent="0.2">
      <c r="B125" s="16"/>
    </row>
    <row r="126" spans="2:2" ht="12.95" customHeight="1" x14ac:dyDescent="0.2">
      <c r="B126" s="16"/>
    </row>
    <row r="127" spans="2:2" ht="12.95" customHeight="1" x14ac:dyDescent="0.2">
      <c r="B127" s="16"/>
    </row>
    <row r="128" spans="2:2" ht="12.95" customHeight="1" x14ac:dyDescent="0.2">
      <c r="B128" s="16"/>
    </row>
    <row r="129" spans="2:2" ht="12.95" customHeight="1" x14ac:dyDescent="0.2">
      <c r="B129" s="16"/>
    </row>
    <row r="130" spans="2:2" ht="12.95" customHeight="1" x14ac:dyDescent="0.2">
      <c r="B130" s="16"/>
    </row>
    <row r="131" spans="2:2" ht="12.95" customHeight="1" x14ac:dyDescent="0.2">
      <c r="B131" s="16"/>
    </row>
    <row r="132" spans="2:2" ht="12.95" customHeight="1" x14ac:dyDescent="0.2">
      <c r="B132" s="16"/>
    </row>
    <row r="133" spans="2:2" ht="12.95" customHeight="1" x14ac:dyDescent="0.2">
      <c r="B133" s="16"/>
    </row>
    <row r="134" spans="2:2" ht="12.95" customHeight="1" x14ac:dyDescent="0.2">
      <c r="B134" s="16"/>
    </row>
    <row r="135" spans="2:2" ht="12.95" customHeight="1" x14ac:dyDescent="0.2">
      <c r="B135" s="16"/>
    </row>
    <row r="136" spans="2:2" ht="12.95" customHeight="1" x14ac:dyDescent="0.2">
      <c r="B136" s="16"/>
    </row>
    <row r="137" spans="2:2" ht="12.95" customHeight="1" x14ac:dyDescent="0.2">
      <c r="B137" s="16"/>
    </row>
    <row r="138" spans="2:2" ht="12.95" customHeight="1" x14ac:dyDescent="0.2">
      <c r="B138" s="16"/>
    </row>
    <row r="139" spans="2:2" ht="12.95" customHeight="1" x14ac:dyDescent="0.2">
      <c r="B139" s="16"/>
    </row>
    <row r="140" spans="2:2" ht="12.95" customHeight="1" x14ac:dyDescent="0.2">
      <c r="B140" s="16"/>
    </row>
    <row r="141" spans="2:2" ht="12.95" customHeight="1" x14ac:dyDescent="0.2">
      <c r="B141" s="16"/>
    </row>
    <row r="142" spans="2:2" ht="12.95" customHeight="1" x14ac:dyDescent="0.2">
      <c r="B142" s="16"/>
    </row>
    <row r="143" spans="2:2" ht="12.95" customHeight="1" x14ac:dyDescent="0.2">
      <c r="B143" s="16"/>
    </row>
    <row r="144" spans="2:2" ht="12.95" customHeight="1" x14ac:dyDescent="0.2">
      <c r="B144" s="16"/>
    </row>
    <row r="145" spans="2:2" ht="12.95" customHeight="1" x14ac:dyDescent="0.2">
      <c r="B145" s="16"/>
    </row>
    <row r="146" spans="2:2" ht="12.95" customHeight="1" x14ac:dyDescent="0.2">
      <c r="B146" s="16"/>
    </row>
    <row r="147" spans="2:2" ht="12.95" customHeight="1" x14ac:dyDescent="0.2">
      <c r="B147" s="16"/>
    </row>
    <row r="148" spans="2:2" ht="12.95" customHeight="1" x14ac:dyDescent="0.2">
      <c r="B148" s="16"/>
    </row>
    <row r="149" spans="2:2" ht="12.95" customHeight="1" x14ac:dyDescent="0.2">
      <c r="B149" s="16"/>
    </row>
    <row r="150" spans="2:2" ht="12.95" customHeight="1" x14ac:dyDescent="0.2">
      <c r="B150" s="16"/>
    </row>
    <row r="151" spans="2:2" ht="12.95" customHeight="1" x14ac:dyDescent="0.2">
      <c r="B151" s="16"/>
    </row>
    <row r="152" spans="2:2" ht="12.95" customHeight="1" x14ac:dyDescent="0.2">
      <c r="B152" s="16"/>
    </row>
    <row r="153" spans="2:2" ht="12.95" customHeight="1" x14ac:dyDescent="0.2">
      <c r="B153" s="16"/>
    </row>
    <row r="154" spans="2:2" ht="12.95" customHeight="1" x14ac:dyDescent="0.2">
      <c r="B154" s="16"/>
    </row>
    <row r="155" spans="2:2" ht="12.95" customHeight="1" x14ac:dyDescent="0.2">
      <c r="B155" s="16"/>
    </row>
    <row r="156" spans="2:2" ht="12.95" customHeight="1" x14ac:dyDescent="0.2">
      <c r="B156" s="16"/>
    </row>
    <row r="157" spans="2:2" ht="12.95" customHeight="1" x14ac:dyDescent="0.2">
      <c r="B157" s="16"/>
    </row>
    <row r="158" spans="2:2" ht="12.95" customHeight="1" x14ac:dyDescent="0.2">
      <c r="B158" s="16"/>
    </row>
    <row r="159" spans="2:2" ht="12.95" customHeight="1" x14ac:dyDescent="0.2">
      <c r="B159" s="16"/>
    </row>
    <row r="160" spans="2:2" ht="12.95" customHeight="1" x14ac:dyDescent="0.2">
      <c r="B160" s="16"/>
    </row>
    <row r="161" spans="2:2" ht="12.95" customHeight="1" x14ac:dyDescent="0.2">
      <c r="B161" s="16"/>
    </row>
    <row r="162" spans="2:2" ht="12.95" customHeight="1" x14ac:dyDescent="0.2">
      <c r="B162" s="16"/>
    </row>
    <row r="163" spans="2:2" ht="12.95" customHeight="1" x14ac:dyDescent="0.2">
      <c r="B163" s="16"/>
    </row>
    <row r="164" spans="2:2" ht="12.95" customHeight="1" x14ac:dyDescent="0.2">
      <c r="B164" s="16"/>
    </row>
    <row r="165" spans="2:2" ht="12.95" customHeight="1" x14ac:dyDescent="0.2">
      <c r="B165" s="16"/>
    </row>
    <row r="166" spans="2:2" ht="12.95" customHeight="1" x14ac:dyDescent="0.2">
      <c r="B166" s="16"/>
    </row>
    <row r="167" spans="2:2" ht="12.95" customHeight="1" x14ac:dyDescent="0.2">
      <c r="B167" s="16"/>
    </row>
    <row r="168" spans="2:2" ht="12.95" customHeight="1" x14ac:dyDescent="0.2">
      <c r="B168" s="16"/>
    </row>
    <row r="169" spans="2:2" ht="12.95" customHeight="1" x14ac:dyDescent="0.2">
      <c r="B169" s="16"/>
    </row>
    <row r="170" spans="2:2" ht="12.95" customHeight="1" x14ac:dyDescent="0.2">
      <c r="B170" s="16"/>
    </row>
    <row r="171" spans="2:2" ht="12.95" customHeight="1" x14ac:dyDescent="0.2">
      <c r="B171" s="16"/>
    </row>
    <row r="172" spans="2:2" ht="12.95" customHeight="1" x14ac:dyDescent="0.2">
      <c r="B172" s="16"/>
    </row>
    <row r="173" spans="2:2" ht="12.95" customHeight="1" x14ac:dyDescent="0.2">
      <c r="B173" s="16"/>
    </row>
    <row r="174" spans="2:2" ht="12.95" customHeight="1" x14ac:dyDescent="0.2">
      <c r="B174" s="16"/>
    </row>
    <row r="175" spans="2:2" ht="12.95" customHeight="1" x14ac:dyDescent="0.2">
      <c r="B175" s="16"/>
    </row>
    <row r="176" spans="2:2" ht="12.95" customHeight="1" x14ac:dyDescent="0.2">
      <c r="B176" s="16"/>
    </row>
    <row r="177" spans="2:2" ht="12.95" customHeight="1" x14ac:dyDescent="0.2">
      <c r="B177" s="16"/>
    </row>
    <row r="178" spans="2:2" ht="12.95" customHeight="1" x14ac:dyDescent="0.2">
      <c r="B178" s="16"/>
    </row>
    <row r="179" spans="2:2" ht="12.95" customHeight="1" x14ac:dyDescent="0.2">
      <c r="B179" s="16"/>
    </row>
    <row r="180" spans="2:2" ht="12.95" customHeight="1" x14ac:dyDescent="0.2">
      <c r="B180" s="16"/>
    </row>
    <row r="181" spans="2:2" ht="12.95" customHeight="1" x14ac:dyDescent="0.2">
      <c r="B181" s="16"/>
    </row>
    <row r="182" spans="2:2" ht="12.95" customHeight="1" x14ac:dyDescent="0.2">
      <c r="B182" s="16"/>
    </row>
    <row r="183" spans="2:2" ht="12.95" customHeight="1" x14ac:dyDescent="0.2">
      <c r="B183" s="16"/>
    </row>
    <row r="184" spans="2:2" ht="12.95" customHeight="1" x14ac:dyDescent="0.2">
      <c r="B184" s="16"/>
    </row>
    <row r="185" spans="2:2" ht="12.95" customHeight="1" x14ac:dyDescent="0.2">
      <c r="B185" s="16"/>
    </row>
    <row r="186" spans="2:2" ht="12.95" customHeight="1" x14ac:dyDescent="0.2">
      <c r="B186" s="16"/>
    </row>
    <row r="187" spans="2:2" ht="12.95" customHeight="1" x14ac:dyDescent="0.2">
      <c r="B187" s="16"/>
    </row>
    <row r="188" spans="2:2" ht="12.95" customHeight="1" x14ac:dyDescent="0.2">
      <c r="B188" s="16"/>
    </row>
    <row r="189" spans="2:2" ht="12.95" customHeight="1" x14ac:dyDescent="0.2">
      <c r="B189" s="16"/>
    </row>
    <row r="190" spans="2:2" ht="12.95" customHeight="1" x14ac:dyDescent="0.2">
      <c r="B190" s="16"/>
    </row>
    <row r="191" spans="2:2" ht="12.95" customHeight="1" x14ac:dyDescent="0.2">
      <c r="B191" s="16"/>
    </row>
    <row r="192" spans="2:2" ht="12.95" customHeight="1" x14ac:dyDescent="0.2">
      <c r="B192" s="16"/>
    </row>
    <row r="193" spans="2:2" ht="12.95" customHeight="1" x14ac:dyDescent="0.2">
      <c r="B193" s="16"/>
    </row>
    <row r="194" spans="2:2" ht="12.95" customHeight="1" x14ac:dyDescent="0.2">
      <c r="B194" s="16"/>
    </row>
    <row r="195" spans="2:2" ht="12.95" customHeight="1" x14ac:dyDescent="0.2">
      <c r="B195" s="16"/>
    </row>
    <row r="196" spans="2:2" ht="12.95" customHeight="1" x14ac:dyDescent="0.2">
      <c r="B196" s="16"/>
    </row>
    <row r="197" spans="2:2" ht="12.95" customHeight="1" x14ac:dyDescent="0.2">
      <c r="B197" s="16"/>
    </row>
    <row r="198" spans="2:2" ht="12.95" customHeight="1" x14ac:dyDescent="0.2">
      <c r="B198" s="16"/>
    </row>
    <row r="199" spans="2:2" ht="12.95" customHeight="1" x14ac:dyDescent="0.2">
      <c r="B199" s="16"/>
    </row>
    <row r="200" spans="2:2" ht="12.95" customHeight="1" x14ac:dyDescent="0.2">
      <c r="B200" s="16"/>
    </row>
    <row r="201" spans="2:2" ht="12.95" customHeight="1" x14ac:dyDescent="0.2">
      <c r="B201" s="16"/>
    </row>
    <row r="202" spans="2:2" ht="12.95" customHeight="1" x14ac:dyDescent="0.2">
      <c r="B202" s="16"/>
    </row>
    <row r="203" spans="2:2" ht="12.95" customHeight="1" x14ac:dyDescent="0.2">
      <c r="B203" s="16"/>
    </row>
    <row r="204" spans="2:2" ht="12.95" customHeight="1" x14ac:dyDescent="0.2">
      <c r="B204" s="16"/>
    </row>
    <row r="205" spans="2:2" ht="12.95" customHeight="1" x14ac:dyDescent="0.2">
      <c r="B205" s="16"/>
    </row>
    <row r="206" spans="2:2" ht="12.95" customHeight="1" x14ac:dyDescent="0.2">
      <c r="B206" s="16"/>
    </row>
    <row r="207" spans="2:2" ht="12.95" customHeight="1" x14ac:dyDescent="0.2">
      <c r="B207" s="16"/>
    </row>
    <row r="208" spans="2:2" ht="12.95" customHeight="1" x14ac:dyDescent="0.2">
      <c r="B208" s="16"/>
    </row>
    <row r="209" spans="2:2" ht="12.95" customHeight="1" x14ac:dyDescent="0.2">
      <c r="B209" s="16"/>
    </row>
    <row r="210" spans="2:2" ht="12.95" customHeight="1" x14ac:dyDescent="0.2">
      <c r="B210" s="16"/>
    </row>
    <row r="211" spans="2:2" ht="12.95" customHeight="1" x14ac:dyDescent="0.2">
      <c r="B211" s="16"/>
    </row>
    <row r="212" spans="2:2" ht="12.95" customHeight="1" x14ac:dyDescent="0.2">
      <c r="B212" s="16"/>
    </row>
    <row r="213" spans="2:2" ht="12.95" customHeight="1" x14ac:dyDescent="0.2">
      <c r="B213" s="16"/>
    </row>
    <row r="214" spans="2:2" ht="12.95" customHeight="1" x14ac:dyDescent="0.2">
      <c r="B214" s="16"/>
    </row>
    <row r="215" spans="2:2" ht="12.95" customHeight="1" x14ac:dyDescent="0.2">
      <c r="B215" s="16"/>
    </row>
    <row r="216" spans="2:2" ht="12.95" customHeight="1" x14ac:dyDescent="0.2">
      <c r="B216" s="16"/>
    </row>
    <row r="217" spans="2:2" ht="12.95" customHeight="1" x14ac:dyDescent="0.2">
      <c r="B217" s="16"/>
    </row>
    <row r="218" spans="2:2" ht="12.95" customHeight="1" x14ac:dyDescent="0.2">
      <c r="B218" s="16"/>
    </row>
    <row r="219" spans="2:2" ht="12.95" customHeight="1" x14ac:dyDescent="0.2">
      <c r="B219" s="16"/>
    </row>
    <row r="220" spans="2:2" ht="12.95" customHeight="1" x14ac:dyDescent="0.2">
      <c r="B220" s="16"/>
    </row>
    <row r="221" spans="2:2" ht="12.95" customHeight="1" x14ac:dyDescent="0.2">
      <c r="B221" s="16"/>
    </row>
    <row r="222" spans="2:2" ht="12.95" customHeight="1" x14ac:dyDescent="0.2">
      <c r="B222" s="16"/>
    </row>
    <row r="223" spans="2:2" ht="12.95" customHeight="1" x14ac:dyDescent="0.2">
      <c r="B223" s="16"/>
    </row>
    <row r="224" spans="2:2" ht="12.95" customHeight="1" x14ac:dyDescent="0.2">
      <c r="B224" s="16"/>
    </row>
    <row r="225" spans="2:2" ht="12.95" customHeight="1" x14ac:dyDescent="0.2">
      <c r="B225" s="16"/>
    </row>
    <row r="226" spans="2:2" x14ac:dyDescent="0.2">
      <c r="B226" s="16"/>
    </row>
    <row r="227" spans="2:2" x14ac:dyDescent="0.2">
      <c r="B227" s="16"/>
    </row>
    <row r="228" spans="2:2" x14ac:dyDescent="0.2">
      <c r="B228" s="16"/>
    </row>
    <row r="229" spans="2:2" x14ac:dyDescent="0.2">
      <c r="B229" s="16"/>
    </row>
    <row r="230" spans="2:2" x14ac:dyDescent="0.2">
      <c r="B230" s="16"/>
    </row>
    <row r="231" spans="2:2" x14ac:dyDescent="0.2">
      <c r="B231" s="16"/>
    </row>
    <row r="232" spans="2:2" x14ac:dyDescent="0.2">
      <c r="B232" s="16"/>
    </row>
    <row r="233" spans="2:2" x14ac:dyDescent="0.2">
      <c r="B233" s="16"/>
    </row>
    <row r="234" spans="2:2" x14ac:dyDescent="0.2">
      <c r="B234" s="16"/>
    </row>
    <row r="235" spans="2:2" x14ac:dyDescent="0.2">
      <c r="B235" s="16"/>
    </row>
    <row r="236" spans="2:2" x14ac:dyDescent="0.2">
      <c r="B236" s="16"/>
    </row>
    <row r="237" spans="2:2" x14ac:dyDescent="0.2">
      <c r="B237" s="16"/>
    </row>
    <row r="238" spans="2:2" x14ac:dyDescent="0.2">
      <c r="B238" s="16"/>
    </row>
    <row r="239" spans="2:2" x14ac:dyDescent="0.2">
      <c r="B239" s="16"/>
    </row>
    <row r="240" spans="2:2" x14ac:dyDescent="0.2">
      <c r="B240" s="16"/>
    </row>
    <row r="241" spans="2:2" x14ac:dyDescent="0.2">
      <c r="B241" s="16"/>
    </row>
    <row r="242" spans="2:2" x14ac:dyDescent="0.2">
      <c r="B242" s="16"/>
    </row>
    <row r="243" spans="2:2" x14ac:dyDescent="0.2">
      <c r="B243" s="16"/>
    </row>
    <row r="244" spans="2:2" x14ac:dyDescent="0.2">
      <c r="B244" s="16"/>
    </row>
    <row r="245" spans="2:2" x14ac:dyDescent="0.2">
      <c r="B245" s="16"/>
    </row>
    <row r="246" spans="2:2" x14ac:dyDescent="0.2">
      <c r="B246" s="16"/>
    </row>
    <row r="247" spans="2:2" x14ac:dyDescent="0.2">
      <c r="B247" s="16"/>
    </row>
    <row r="248" spans="2:2" x14ac:dyDescent="0.2">
      <c r="B248" s="16"/>
    </row>
    <row r="249" spans="2:2" x14ac:dyDescent="0.2">
      <c r="B249" s="16"/>
    </row>
    <row r="250" spans="2:2" x14ac:dyDescent="0.2">
      <c r="B250" s="16"/>
    </row>
    <row r="251" spans="2:2" x14ac:dyDescent="0.2">
      <c r="B251" s="16"/>
    </row>
    <row r="252" spans="2:2" x14ac:dyDescent="0.2">
      <c r="B252" s="16"/>
    </row>
    <row r="253" spans="2:2" x14ac:dyDescent="0.2">
      <c r="B253" s="16"/>
    </row>
    <row r="254" spans="2:2" x14ac:dyDescent="0.2">
      <c r="B254" s="16"/>
    </row>
    <row r="255" spans="2:2" x14ac:dyDescent="0.2">
      <c r="B255" s="16"/>
    </row>
    <row r="256" spans="2:2" x14ac:dyDescent="0.2">
      <c r="B256" s="16"/>
    </row>
    <row r="257" spans="2:2" x14ac:dyDescent="0.2">
      <c r="B257" s="16"/>
    </row>
    <row r="258" spans="2:2" x14ac:dyDescent="0.2">
      <c r="B258" s="16"/>
    </row>
    <row r="259" spans="2:2" x14ac:dyDescent="0.2">
      <c r="B259" s="16"/>
    </row>
    <row r="260" spans="2:2" x14ac:dyDescent="0.2">
      <c r="B260" s="16"/>
    </row>
    <row r="261" spans="2:2" x14ac:dyDescent="0.2">
      <c r="B261" s="16"/>
    </row>
    <row r="262" spans="2:2" x14ac:dyDescent="0.2">
      <c r="B262" s="16"/>
    </row>
    <row r="263" spans="2:2" x14ac:dyDescent="0.2">
      <c r="B263" s="16"/>
    </row>
    <row r="264" spans="2:2" x14ac:dyDescent="0.2">
      <c r="B264" s="16"/>
    </row>
    <row r="265" spans="2:2" x14ac:dyDescent="0.2">
      <c r="B265" s="16"/>
    </row>
    <row r="266" spans="2:2" x14ac:dyDescent="0.2">
      <c r="B266" s="16"/>
    </row>
    <row r="267" spans="2:2" x14ac:dyDescent="0.2">
      <c r="B267" s="16"/>
    </row>
    <row r="268" spans="2:2" x14ac:dyDescent="0.2">
      <c r="B268" s="16"/>
    </row>
    <row r="269" spans="2:2" x14ac:dyDescent="0.2">
      <c r="B269" s="16"/>
    </row>
    <row r="270" spans="2:2" x14ac:dyDescent="0.2">
      <c r="B270" s="16"/>
    </row>
    <row r="271" spans="2:2" x14ac:dyDescent="0.2">
      <c r="B271" s="16"/>
    </row>
    <row r="272" spans="2:2" x14ac:dyDescent="0.2">
      <c r="B272" s="16"/>
    </row>
    <row r="273" spans="2:2" x14ac:dyDescent="0.2">
      <c r="B273" s="16"/>
    </row>
    <row r="274" spans="2:2" x14ac:dyDescent="0.2">
      <c r="B274" s="16"/>
    </row>
    <row r="275" spans="2:2" x14ac:dyDescent="0.2">
      <c r="B275" s="16"/>
    </row>
    <row r="276" spans="2:2" x14ac:dyDescent="0.2">
      <c r="B276" s="16"/>
    </row>
    <row r="277" spans="2:2" x14ac:dyDescent="0.2">
      <c r="B277" s="16"/>
    </row>
    <row r="278" spans="2:2" x14ac:dyDescent="0.2">
      <c r="B278" s="16"/>
    </row>
    <row r="279" spans="2:2" x14ac:dyDescent="0.2">
      <c r="B279" s="16"/>
    </row>
    <row r="280" spans="2:2" x14ac:dyDescent="0.2">
      <c r="B280" s="16"/>
    </row>
    <row r="281" spans="2:2" x14ac:dyDescent="0.2">
      <c r="B281" s="16"/>
    </row>
    <row r="282" spans="2:2" x14ac:dyDescent="0.2">
      <c r="B282" s="16"/>
    </row>
    <row r="283" spans="2:2" x14ac:dyDescent="0.2">
      <c r="B283" s="16"/>
    </row>
    <row r="284" spans="2:2" x14ac:dyDescent="0.2">
      <c r="B284" s="16"/>
    </row>
    <row r="285" spans="2:2" x14ac:dyDescent="0.2">
      <c r="B285" s="16"/>
    </row>
    <row r="286" spans="2:2" x14ac:dyDescent="0.2">
      <c r="B286" s="16"/>
    </row>
    <row r="287" spans="2:2" x14ac:dyDescent="0.2">
      <c r="B287" s="16"/>
    </row>
    <row r="288" spans="2:2" x14ac:dyDescent="0.2">
      <c r="B288" s="16"/>
    </row>
    <row r="289" spans="2:2" x14ac:dyDescent="0.2">
      <c r="B289" s="16"/>
    </row>
    <row r="290" spans="2:2" x14ac:dyDescent="0.2">
      <c r="B290" s="16"/>
    </row>
    <row r="291" spans="2:2" x14ac:dyDescent="0.2">
      <c r="B291" s="16"/>
    </row>
    <row r="292" spans="2:2" x14ac:dyDescent="0.2">
      <c r="B292" s="16"/>
    </row>
  </sheetData>
  <protectedRanges>
    <protectedRange sqref="A82:D82" name="Range1"/>
  </protectedRanges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04"/>
  <sheetViews>
    <sheetView topLeftCell="A22" workbookViewId="0">
      <selection activeCell="A38" sqref="A38:D69"/>
    </sheetView>
  </sheetViews>
  <sheetFormatPr defaultRowHeight="12.75" x14ac:dyDescent="0.2"/>
  <cols>
    <col min="1" max="1" width="19.7109375" style="9" customWidth="1"/>
    <col min="2" max="2" width="4.42578125" style="14" customWidth="1"/>
    <col min="3" max="3" width="12.7109375" style="9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9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 x14ac:dyDescent="0.25">
      <c r="A1" s="79" t="s">
        <v>148</v>
      </c>
      <c r="I1" s="80" t="s">
        <v>82</v>
      </c>
      <c r="J1" s="81" t="s">
        <v>149</v>
      </c>
    </row>
    <row r="2" spans="1:16" x14ac:dyDescent="0.2">
      <c r="I2" s="82" t="s">
        <v>93</v>
      </c>
      <c r="J2" s="83" t="s">
        <v>150</v>
      </c>
    </row>
    <row r="3" spans="1:16" x14ac:dyDescent="0.2">
      <c r="A3" s="84" t="s">
        <v>151</v>
      </c>
      <c r="I3" s="82" t="s">
        <v>97</v>
      </c>
      <c r="J3" s="83" t="s">
        <v>152</v>
      </c>
    </row>
    <row r="4" spans="1:16" x14ac:dyDescent="0.2">
      <c r="I4" s="82" t="s">
        <v>110</v>
      </c>
      <c r="J4" s="83" t="s">
        <v>152</v>
      </c>
    </row>
    <row r="5" spans="1:16" ht="13.5" thickBot="1" x14ac:dyDescent="0.25">
      <c r="I5" s="85" t="s">
        <v>140</v>
      </c>
      <c r="J5" s="86" t="s">
        <v>146</v>
      </c>
    </row>
    <row r="10" spans="1:16" ht="13.5" thickBot="1" x14ac:dyDescent="0.25"/>
    <row r="11" spans="1:16" ht="12.75" customHeight="1" thickBot="1" x14ac:dyDescent="0.25">
      <c r="A11" s="9" t="str">
        <f t="shared" ref="A11:A42" si="0">P11</f>
        <v> BBS 11 </v>
      </c>
      <c r="B11" s="16" t="str">
        <f t="shared" ref="B11:B42" si="1">IF(H11=INT(H11),"I","II")</f>
        <v>I</v>
      </c>
      <c r="C11" s="9">
        <f t="shared" ref="C11:C42" si="2">1*G11</f>
        <v>41950.65</v>
      </c>
      <c r="D11" s="14" t="str">
        <f t="shared" ref="D11:D42" si="3">VLOOKUP(F11,I$1:J$5,2,FALSE)</f>
        <v>vis</v>
      </c>
      <c r="E11" s="87">
        <f>VLOOKUP(C11,Active!C$21:E$972,3,FALSE)</f>
        <v>-17.996094904009716</v>
      </c>
      <c r="F11" s="16" t="s">
        <v>140</v>
      </c>
      <c r="G11" s="14" t="str">
        <f t="shared" ref="G11:G42" si="4">MID(I11,3,LEN(I11)-3)</f>
        <v>41950.650</v>
      </c>
      <c r="H11" s="9">
        <f t="shared" ref="H11:H42" si="5">1*K11</f>
        <v>-2463</v>
      </c>
      <c r="I11" s="88" t="s">
        <v>251</v>
      </c>
      <c r="J11" s="89" t="s">
        <v>252</v>
      </c>
      <c r="K11" s="88">
        <v>-2463</v>
      </c>
      <c r="L11" s="88" t="s">
        <v>253</v>
      </c>
      <c r="M11" s="89" t="s">
        <v>209</v>
      </c>
      <c r="N11" s="89"/>
      <c r="O11" s="90" t="s">
        <v>254</v>
      </c>
      <c r="P11" s="90" t="s">
        <v>255</v>
      </c>
    </row>
    <row r="12" spans="1:16" ht="12.75" customHeight="1" thickBot="1" x14ac:dyDescent="0.25">
      <c r="A12" s="9" t="str">
        <f t="shared" si="0"/>
        <v> BBS 15 </v>
      </c>
      <c r="B12" s="16" t="str">
        <f t="shared" si="1"/>
        <v>I</v>
      </c>
      <c r="C12" s="9">
        <f t="shared" si="2"/>
        <v>42156.402000000002</v>
      </c>
      <c r="D12" s="14" t="str">
        <f t="shared" si="3"/>
        <v>vis</v>
      </c>
      <c r="E12" s="87">
        <f>VLOOKUP(C12,Active!C$21:E$972,3,FALSE)</f>
        <v>19.000005574085016</v>
      </c>
      <c r="F12" s="16" t="s">
        <v>140</v>
      </c>
      <c r="G12" s="14" t="str">
        <f t="shared" si="4"/>
        <v>42156.402</v>
      </c>
      <c r="H12" s="9">
        <f t="shared" si="5"/>
        <v>-2426</v>
      </c>
      <c r="I12" s="88" t="s">
        <v>256</v>
      </c>
      <c r="J12" s="89" t="s">
        <v>257</v>
      </c>
      <c r="K12" s="88">
        <v>-2426</v>
      </c>
      <c r="L12" s="88" t="s">
        <v>258</v>
      </c>
      <c r="M12" s="89" t="s">
        <v>209</v>
      </c>
      <c r="N12" s="89"/>
      <c r="O12" s="90" t="s">
        <v>259</v>
      </c>
      <c r="P12" s="90" t="s">
        <v>260</v>
      </c>
    </row>
    <row r="13" spans="1:16" ht="12.75" customHeight="1" thickBot="1" x14ac:dyDescent="0.25">
      <c r="A13" s="9" t="str">
        <f t="shared" si="0"/>
        <v> BBS 19 </v>
      </c>
      <c r="B13" s="16" t="str">
        <f t="shared" si="1"/>
        <v>I</v>
      </c>
      <c r="C13" s="9">
        <f t="shared" si="2"/>
        <v>42395.517</v>
      </c>
      <c r="D13" s="14" t="str">
        <f t="shared" si="3"/>
        <v>vis</v>
      </c>
      <c r="E13" s="87">
        <f>VLOOKUP(C13,Active!C$21:E$972,3,FALSE)</f>
        <v>61.995080060940687</v>
      </c>
      <c r="F13" s="16" t="s">
        <v>140</v>
      </c>
      <c r="G13" s="14" t="str">
        <f t="shared" si="4"/>
        <v>42395.517</v>
      </c>
      <c r="H13" s="9">
        <f t="shared" si="5"/>
        <v>-2383</v>
      </c>
      <c r="I13" s="88" t="s">
        <v>261</v>
      </c>
      <c r="J13" s="89" t="s">
        <v>262</v>
      </c>
      <c r="K13" s="88">
        <v>-2383</v>
      </c>
      <c r="L13" s="88" t="s">
        <v>263</v>
      </c>
      <c r="M13" s="89" t="s">
        <v>209</v>
      </c>
      <c r="N13" s="89"/>
      <c r="O13" s="90" t="s">
        <v>254</v>
      </c>
      <c r="P13" s="90" t="s">
        <v>264</v>
      </c>
    </row>
    <row r="14" spans="1:16" ht="12.75" customHeight="1" thickBot="1" x14ac:dyDescent="0.25">
      <c r="A14" s="9" t="str">
        <f t="shared" si="0"/>
        <v> BBS 21 </v>
      </c>
      <c r="B14" s="16" t="str">
        <f t="shared" si="1"/>
        <v>I</v>
      </c>
      <c r="C14" s="9">
        <f t="shared" si="2"/>
        <v>42473.411</v>
      </c>
      <c r="D14" s="14" t="str">
        <f t="shared" si="3"/>
        <v>vis</v>
      </c>
      <c r="E14" s="87">
        <f>VLOOKUP(C14,Active!C$21:E$972,3,FALSE)</f>
        <v>76.001137113317881</v>
      </c>
      <c r="F14" s="16" t="s">
        <v>140</v>
      </c>
      <c r="G14" s="14" t="str">
        <f t="shared" si="4"/>
        <v>42473.411</v>
      </c>
      <c r="H14" s="9">
        <f t="shared" si="5"/>
        <v>-2369</v>
      </c>
      <c r="I14" s="88" t="s">
        <v>265</v>
      </c>
      <c r="J14" s="89" t="s">
        <v>266</v>
      </c>
      <c r="K14" s="88">
        <v>-2369</v>
      </c>
      <c r="L14" s="88" t="s">
        <v>267</v>
      </c>
      <c r="M14" s="89" t="s">
        <v>209</v>
      </c>
      <c r="N14" s="89"/>
      <c r="O14" s="90" t="s">
        <v>254</v>
      </c>
      <c r="P14" s="90" t="s">
        <v>268</v>
      </c>
    </row>
    <row r="15" spans="1:16" ht="12.75" customHeight="1" thickBot="1" x14ac:dyDescent="0.25">
      <c r="A15" s="9" t="str">
        <f t="shared" si="0"/>
        <v> AN 301.327 </v>
      </c>
      <c r="B15" s="16" t="str">
        <f t="shared" si="1"/>
        <v>I</v>
      </c>
      <c r="C15" s="9">
        <f t="shared" si="2"/>
        <v>42812.644</v>
      </c>
      <c r="D15" s="14" t="str">
        <f t="shared" si="3"/>
        <v>vis</v>
      </c>
      <c r="E15" s="87">
        <f>VLOOKUP(C15,Active!C$21:E$972,3,FALSE)</f>
        <v>136.99834809297053</v>
      </c>
      <c r="F15" s="16" t="s">
        <v>140</v>
      </c>
      <c r="G15" s="14" t="str">
        <f t="shared" si="4"/>
        <v>42812.644</v>
      </c>
      <c r="H15" s="9">
        <f t="shared" si="5"/>
        <v>-2308</v>
      </c>
      <c r="I15" s="88" t="s">
        <v>269</v>
      </c>
      <c r="J15" s="89" t="s">
        <v>270</v>
      </c>
      <c r="K15" s="88">
        <v>-2308</v>
      </c>
      <c r="L15" s="88" t="s">
        <v>271</v>
      </c>
      <c r="M15" s="89" t="s">
        <v>209</v>
      </c>
      <c r="N15" s="89"/>
      <c r="O15" s="90" t="s">
        <v>272</v>
      </c>
      <c r="P15" s="90" t="s">
        <v>273</v>
      </c>
    </row>
    <row r="16" spans="1:16" ht="12.75" customHeight="1" thickBot="1" x14ac:dyDescent="0.25">
      <c r="A16" s="9" t="str">
        <f t="shared" si="0"/>
        <v> BBS 26 </v>
      </c>
      <c r="B16" s="16" t="str">
        <f t="shared" si="1"/>
        <v>I</v>
      </c>
      <c r="C16" s="9">
        <f t="shared" si="2"/>
        <v>42829.332000000002</v>
      </c>
      <c r="D16" s="14" t="str">
        <f t="shared" si="3"/>
        <v>vis</v>
      </c>
      <c r="E16" s="87">
        <f>VLOOKUP(C16,Active!C$21:E$972,3,FALSE)</f>
        <v>139.9990038570871</v>
      </c>
      <c r="F16" s="16" t="s">
        <v>140</v>
      </c>
      <c r="G16" s="14" t="str">
        <f t="shared" si="4"/>
        <v>42829.332</v>
      </c>
      <c r="H16" s="9">
        <f t="shared" si="5"/>
        <v>-2305</v>
      </c>
      <c r="I16" s="88" t="s">
        <v>274</v>
      </c>
      <c r="J16" s="89" t="s">
        <v>275</v>
      </c>
      <c r="K16" s="88">
        <v>-2305</v>
      </c>
      <c r="L16" s="88" t="s">
        <v>276</v>
      </c>
      <c r="M16" s="89" t="s">
        <v>209</v>
      </c>
      <c r="N16" s="89"/>
      <c r="O16" s="90" t="s">
        <v>254</v>
      </c>
      <c r="P16" s="90" t="s">
        <v>277</v>
      </c>
    </row>
    <row r="17" spans="1:16" ht="12.75" customHeight="1" thickBot="1" x14ac:dyDescent="0.25">
      <c r="A17" s="9" t="str">
        <f t="shared" si="0"/>
        <v> BBS 27 </v>
      </c>
      <c r="B17" s="16" t="str">
        <f t="shared" si="1"/>
        <v>I</v>
      </c>
      <c r="C17" s="9">
        <f t="shared" si="2"/>
        <v>42840.453999999998</v>
      </c>
      <c r="D17" s="14" t="str">
        <f t="shared" si="3"/>
        <v>vis</v>
      </c>
      <c r="E17" s="87">
        <f>VLOOKUP(C17,Active!C$21:E$972,3,FALSE)</f>
        <v>141.99884166919691</v>
      </c>
      <c r="F17" s="16" t="s">
        <v>140</v>
      </c>
      <c r="G17" s="14" t="str">
        <f t="shared" si="4"/>
        <v>42840.454</v>
      </c>
      <c r="H17" s="9">
        <f t="shared" si="5"/>
        <v>-2303</v>
      </c>
      <c r="I17" s="88" t="s">
        <v>278</v>
      </c>
      <c r="J17" s="89" t="s">
        <v>279</v>
      </c>
      <c r="K17" s="88">
        <v>-2303</v>
      </c>
      <c r="L17" s="88" t="s">
        <v>280</v>
      </c>
      <c r="M17" s="89" t="s">
        <v>209</v>
      </c>
      <c r="N17" s="89"/>
      <c r="O17" s="90" t="s">
        <v>254</v>
      </c>
      <c r="P17" s="90" t="s">
        <v>281</v>
      </c>
    </row>
    <row r="18" spans="1:16" ht="12.75" customHeight="1" thickBot="1" x14ac:dyDescent="0.25">
      <c r="A18" s="9" t="str">
        <f t="shared" si="0"/>
        <v> BBS 36 </v>
      </c>
      <c r="B18" s="16" t="str">
        <f t="shared" si="1"/>
        <v>I</v>
      </c>
      <c r="C18" s="9">
        <f t="shared" si="2"/>
        <v>43552.336000000003</v>
      </c>
      <c r="D18" s="14" t="str">
        <f t="shared" si="3"/>
        <v>vis</v>
      </c>
      <c r="E18" s="87">
        <f>VLOOKUP(C18,Active!C$21:E$972,3,FALSE)</f>
        <v>270.00176752433885</v>
      </c>
      <c r="F18" s="16" t="s">
        <v>140</v>
      </c>
      <c r="G18" s="14" t="str">
        <f t="shared" si="4"/>
        <v>43552.336</v>
      </c>
      <c r="H18" s="9">
        <f t="shared" si="5"/>
        <v>-2175</v>
      </c>
      <c r="I18" s="88" t="s">
        <v>287</v>
      </c>
      <c r="J18" s="89" t="s">
        <v>288</v>
      </c>
      <c r="K18" s="88">
        <v>-2175</v>
      </c>
      <c r="L18" s="88" t="s">
        <v>289</v>
      </c>
      <c r="M18" s="89" t="s">
        <v>209</v>
      </c>
      <c r="N18" s="89"/>
      <c r="O18" s="90" t="s">
        <v>254</v>
      </c>
      <c r="P18" s="90" t="s">
        <v>290</v>
      </c>
    </row>
    <row r="19" spans="1:16" ht="12.75" customHeight="1" thickBot="1" x14ac:dyDescent="0.25">
      <c r="A19" s="9" t="str">
        <f t="shared" si="0"/>
        <v> BBS 54 </v>
      </c>
      <c r="B19" s="16" t="str">
        <f t="shared" si="1"/>
        <v>I</v>
      </c>
      <c r="C19" s="9">
        <f t="shared" si="2"/>
        <v>44731.341</v>
      </c>
      <c r="D19" s="14" t="str">
        <f t="shared" si="3"/>
        <v>vis</v>
      </c>
      <c r="E19" s="87">
        <f>VLOOKUP(C19,Active!C$21:E$972,3,FALSE)</f>
        <v>481.99770167893223</v>
      </c>
      <c r="F19" s="16" t="s">
        <v>140</v>
      </c>
      <c r="G19" s="14" t="str">
        <f t="shared" si="4"/>
        <v>44731.341</v>
      </c>
      <c r="H19" s="9">
        <f t="shared" si="5"/>
        <v>-1963</v>
      </c>
      <c r="I19" s="88" t="s">
        <v>291</v>
      </c>
      <c r="J19" s="89" t="s">
        <v>292</v>
      </c>
      <c r="K19" s="88">
        <v>-1963</v>
      </c>
      <c r="L19" s="88" t="s">
        <v>293</v>
      </c>
      <c r="M19" s="89" t="s">
        <v>209</v>
      </c>
      <c r="N19" s="89"/>
      <c r="O19" s="90" t="s">
        <v>254</v>
      </c>
      <c r="P19" s="90" t="s">
        <v>294</v>
      </c>
    </row>
    <row r="20" spans="1:16" ht="12.75" customHeight="1" thickBot="1" x14ac:dyDescent="0.25">
      <c r="A20" s="9" t="str">
        <f t="shared" si="0"/>
        <v> BBS 59 </v>
      </c>
      <c r="B20" s="16" t="str">
        <f t="shared" si="1"/>
        <v>I</v>
      </c>
      <c r="C20" s="9">
        <f t="shared" si="2"/>
        <v>45048.345000000001</v>
      </c>
      <c r="D20" s="14" t="str">
        <f t="shared" si="3"/>
        <v>vis</v>
      </c>
      <c r="E20" s="87">
        <f>VLOOKUP(C20,Active!C$21:E$972,3,FALSE)</f>
        <v>538.99793417221508</v>
      </c>
      <c r="F20" s="16" t="s">
        <v>140</v>
      </c>
      <c r="G20" s="14" t="str">
        <f t="shared" si="4"/>
        <v>45048.345</v>
      </c>
      <c r="H20" s="9">
        <f t="shared" si="5"/>
        <v>-1906</v>
      </c>
      <c r="I20" s="88" t="s">
        <v>295</v>
      </c>
      <c r="J20" s="89" t="s">
        <v>296</v>
      </c>
      <c r="K20" s="88">
        <v>-1906</v>
      </c>
      <c r="L20" s="88" t="s">
        <v>293</v>
      </c>
      <c r="M20" s="89" t="s">
        <v>209</v>
      </c>
      <c r="N20" s="89"/>
      <c r="O20" s="90" t="s">
        <v>254</v>
      </c>
      <c r="P20" s="90" t="s">
        <v>297</v>
      </c>
    </row>
    <row r="21" spans="1:16" ht="12.75" customHeight="1" thickBot="1" x14ac:dyDescent="0.25">
      <c r="A21" s="9" t="str">
        <f t="shared" si="0"/>
        <v> BBS 64 </v>
      </c>
      <c r="B21" s="16" t="str">
        <f t="shared" si="1"/>
        <v>I</v>
      </c>
      <c r="C21" s="9">
        <f t="shared" si="2"/>
        <v>45298.601000000002</v>
      </c>
      <c r="D21" s="14" t="str">
        <f t="shared" si="3"/>
        <v>vis</v>
      </c>
      <c r="E21" s="87">
        <f>VLOOKUP(C21,Active!C$21:E$972,3,FALSE)</f>
        <v>583.99626284579358</v>
      </c>
      <c r="F21" s="16" t="s">
        <v>140</v>
      </c>
      <c r="G21" s="14" t="str">
        <f t="shared" si="4"/>
        <v>45298.601</v>
      </c>
      <c r="H21" s="9">
        <f t="shared" si="5"/>
        <v>-1861</v>
      </c>
      <c r="I21" s="88" t="s">
        <v>298</v>
      </c>
      <c r="J21" s="89" t="s">
        <v>299</v>
      </c>
      <c r="K21" s="88">
        <v>-1861</v>
      </c>
      <c r="L21" s="88" t="s">
        <v>300</v>
      </c>
      <c r="M21" s="89" t="s">
        <v>209</v>
      </c>
      <c r="N21" s="89"/>
      <c r="O21" s="90" t="s">
        <v>254</v>
      </c>
      <c r="P21" s="90" t="s">
        <v>301</v>
      </c>
    </row>
    <row r="22" spans="1:16" ht="12.75" customHeight="1" thickBot="1" x14ac:dyDescent="0.25">
      <c r="A22" s="9" t="str">
        <f t="shared" si="0"/>
        <v> BBS 70 </v>
      </c>
      <c r="B22" s="16" t="str">
        <f t="shared" si="1"/>
        <v>I</v>
      </c>
      <c r="C22" s="9">
        <f t="shared" si="2"/>
        <v>45693.457000000002</v>
      </c>
      <c r="D22" s="14" t="str">
        <f t="shared" si="3"/>
        <v>vis</v>
      </c>
      <c r="E22" s="87">
        <f>VLOOKUP(C22,Active!C$21:E$972,3,FALSE)</f>
        <v>654.99500040546991</v>
      </c>
      <c r="F22" s="16" t="s">
        <v>140</v>
      </c>
      <c r="G22" s="14" t="str">
        <f t="shared" si="4"/>
        <v>45693.457</v>
      </c>
      <c r="H22" s="9">
        <f t="shared" si="5"/>
        <v>-1790</v>
      </c>
      <c r="I22" s="88" t="s">
        <v>302</v>
      </c>
      <c r="J22" s="89" t="s">
        <v>303</v>
      </c>
      <c r="K22" s="88">
        <v>-1790</v>
      </c>
      <c r="L22" s="88" t="s">
        <v>304</v>
      </c>
      <c r="M22" s="89" t="s">
        <v>209</v>
      </c>
      <c r="N22" s="89"/>
      <c r="O22" s="90" t="s">
        <v>254</v>
      </c>
      <c r="P22" s="90" t="s">
        <v>305</v>
      </c>
    </row>
    <row r="23" spans="1:16" ht="12.75" customHeight="1" thickBot="1" x14ac:dyDescent="0.25">
      <c r="A23" s="9" t="str">
        <f t="shared" si="0"/>
        <v> BBS 82 </v>
      </c>
      <c r="B23" s="16" t="str">
        <f t="shared" si="1"/>
        <v>I</v>
      </c>
      <c r="C23" s="9">
        <f t="shared" si="2"/>
        <v>46744.580999999998</v>
      </c>
      <c r="D23" s="14" t="str">
        <f t="shared" si="3"/>
        <v>vis</v>
      </c>
      <c r="E23" s="87">
        <f>VLOOKUP(C23,Active!C$21:E$972,3,FALSE)</f>
        <v>843.99675552297367</v>
      </c>
      <c r="F23" s="16" t="s">
        <v>140</v>
      </c>
      <c r="G23" s="14" t="str">
        <f t="shared" si="4"/>
        <v>46744.581</v>
      </c>
      <c r="H23" s="9">
        <f t="shared" si="5"/>
        <v>-1601</v>
      </c>
      <c r="I23" s="88" t="s">
        <v>306</v>
      </c>
      <c r="J23" s="89" t="s">
        <v>307</v>
      </c>
      <c r="K23" s="88">
        <v>-1601</v>
      </c>
      <c r="L23" s="88" t="s">
        <v>308</v>
      </c>
      <c r="M23" s="89" t="s">
        <v>209</v>
      </c>
      <c r="N23" s="89"/>
      <c r="O23" s="90" t="s">
        <v>254</v>
      </c>
      <c r="P23" s="90" t="s">
        <v>309</v>
      </c>
    </row>
    <row r="24" spans="1:16" ht="12.75" customHeight="1" thickBot="1" x14ac:dyDescent="0.25">
      <c r="A24" s="9" t="str">
        <f t="shared" si="0"/>
        <v> BBS 83 </v>
      </c>
      <c r="B24" s="16" t="str">
        <f t="shared" si="1"/>
        <v>I</v>
      </c>
      <c r="C24" s="9">
        <f t="shared" si="2"/>
        <v>46861.362999999998</v>
      </c>
      <c r="D24" s="14" t="str">
        <f t="shared" si="3"/>
        <v>vis</v>
      </c>
      <c r="E24" s="87">
        <f>VLOOKUP(C24,Active!C$21:E$972,3,FALSE)</f>
        <v>864.99523235932429</v>
      </c>
      <c r="F24" s="16" t="s">
        <v>140</v>
      </c>
      <c r="G24" s="14" t="str">
        <f t="shared" si="4"/>
        <v>46861.363</v>
      </c>
      <c r="H24" s="9">
        <f t="shared" si="5"/>
        <v>-1580</v>
      </c>
      <c r="I24" s="88" t="s">
        <v>310</v>
      </c>
      <c r="J24" s="89" t="s">
        <v>311</v>
      </c>
      <c r="K24" s="88">
        <v>-1580</v>
      </c>
      <c r="L24" s="88" t="s">
        <v>312</v>
      </c>
      <c r="M24" s="89" t="s">
        <v>209</v>
      </c>
      <c r="N24" s="89"/>
      <c r="O24" s="90" t="s">
        <v>254</v>
      </c>
      <c r="P24" s="90" t="s">
        <v>313</v>
      </c>
    </row>
    <row r="25" spans="1:16" ht="12.75" customHeight="1" thickBot="1" x14ac:dyDescent="0.25">
      <c r="A25" s="9" t="str">
        <f t="shared" si="0"/>
        <v> BBS 91 </v>
      </c>
      <c r="B25" s="16" t="str">
        <f t="shared" si="1"/>
        <v>I</v>
      </c>
      <c r="C25" s="9">
        <f t="shared" si="2"/>
        <v>47595.428999999996</v>
      </c>
      <c r="D25" s="14" t="str">
        <f t="shared" si="3"/>
        <v>vis</v>
      </c>
      <c r="E25" s="87">
        <f>VLOOKUP(C25,Active!C$21:E$972,3,FALSE)</f>
        <v>996.98704528728115</v>
      </c>
      <c r="F25" s="16" t="s">
        <v>140</v>
      </c>
      <c r="G25" s="14" t="str">
        <f t="shared" si="4"/>
        <v>47595.429</v>
      </c>
      <c r="H25" s="9">
        <f t="shared" si="5"/>
        <v>-1448</v>
      </c>
      <c r="I25" s="88" t="s">
        <v>314</v>
      </c>
      <c r="J25" s="89" t="s">
        <v>315</v>
      </c>
      <c r="K25" s="88">
        <v>-1448</v>
      </c>
      <c r="L25" s="88" t="s">
        <v>316</v>
      </c>
      <c r="M25" s="89" t="s">
        <v>209</v>
      </c>
      <c r="N25" s="89"/>
      <c r="O25" s="90" t="s">
        <v>254</v>
      </c>
      <c r="P25" s="90" t="s">
        <v>317</v>
      </c>
    </row>
    <row r="26" spans="1:16" ht="12.75" customHeight="1" thickBot="1" x14ac:dyDescent="0.25">
      <c r="A26" s="9" t="str">
        <f t="shared" si="0"/>
        <v> BRNO 31 </v>
      </c>
      <c r="B26" s="16" t="str">
        <f t="shared" si="1"/>
        <v>I</v>
      </c>
      <c r="C26" s="9">
        <f t="shared" si="2"/>
        <v>48290.553999999996</v>
      </c>
      <c r="D26" s="14" t="str">
        <f t="shared" si="3"/>
        <v>vis</v>
      </c>
      <c r="E26" s="87">
        <f>VLOOKUP(C26,Active!C$21:E$972,3,FALSE)</f>
        <v>1121.9769085441903</v>
      </c>
      <c r="F26" s="16" t="s">
        <v>140</v>
      </c>
      <c r="G26" s="14" t="str">
        <f t="shared" si="4"/>
        <v>48290.554</v>
      </c>
      <c r="H26" s="9">
        <f t="shared" si="5"/>
        <v>-1323</v>
      </c>
      <c r="I26" s="88" t="s">
        <v>318</v>
      </c>
      <c r="J26" s="89" t="s">
        <v>319</v>
      </c>
      <c r="K26" s="88">
        <v>-1323</v>
      </c>
      <c r="L26" s="88" t="s">
        <v>320</v>
      </c>
      <c r="M26" s="89" t="s">
        <v>209</v>
      </c>
      <c r="N26" s="89"/>
      <c r="O26" s="90" t="s">
        <v>321</v>
      </c>
      <c r="P26" s="90" t="s">
        <v>322</v>
      </c>
    </row>
    <row r="27" spans="1:16" ht="12.75" customHeight="1" thickBot="1" x14ac:dyDescent="0.25">
      <c r="A27" s="9" t="str">
        <f t="shared" si="0"/>
        <v> BBS 97 </v>
      </c>
      <c r="B27" s="16" t="str">
        <f t="shared" si="1"/>
        <v>I</v>
      </c>
      <c r="C27" s="9">
        <f t="shared" si="2"/>
        <v>48357.345000000001</v>
      </c>
      <c r="D27" s="14" t="str">
        <f t="shared" si="3"/>
        <v>vis</v>
      </c>
      <c r="E27" s="87">
        <f>VLOOKUP(C27,Active!C$21:E$972,3,FALSE)</f>
        <v>1133.9865441590694</v>
      </c>
      <c r="F27" s="16" t="s">
        <v>140</v>
      </c>
      <c r="G27" s="14" t="str">
        <f t="shared" si="4"/>
        <v>48357.345</v>
      </c>
      <c r="H27" s="9">
        <f t="shared" si="5"/>
        <v>-1311</v>
      </c>
      <c r="I27" s="88" t="s">
        <v>323</v>
      </c>
      <c r="J27" s="89" t="s">
        <v>324</v>
      </c>
      <c r="K27" s="88">
        <v>-1311</v>
      </c>
      <c r="L27" s="88" t="s">
        <v>325</v>
      </c>
      <c r="M27" s="89" t="s">
        <v>209</v>
      </c>
      <c r="N27" s="89"/>
      <c r="O27" s="90" t="s">
        <v>254</v>
      </c>
      <c r="P27" s="90" t="s">
        <v>326</v>
      </c>
    </row>
    <row r="28" spans="1:16" ht="12.75" customHeight="1" thickBot="1" x14ac:dyDescent="0.25">
      <c r="A28" s="9" t="str">
        <f t="shared" si="0"/>
        <v> BBS 97 </v>
      </c>
      <c r="B28" s="16" t="str">
        <f t="shared" si="1"/>
        <v>I</v>
      </c>
      <c r="C28" s="9">
        <f t="shared" si="2"/>
        <v>48357.355000000003</v>
      </c>
      <c r="D28" s="14" t="str">
        <f t="shared" si="3"/>
        <v>vis</v>
      </c>
      <c r="E28" s="87">
        <f>VLOOKUP(C28,Active!C$21:E$972,3,FALSE)</f>
        <v>1133.9883422509704</v>
      </c>
      <c r="F28" s="16" t="s">
        <v>140</v>
      </c>
      <c r="G28" s="14" t="str">
        <f t="shared" si="4"/>
        <v>48357.355</v>
      </c>
      <c r="H28" s="9">
        <f t="shared" si="5"/>
        <v>-1311</v>
      </c>
      <c r="I28" s="88" t="s">
        <v>327</v>
      </c>
      <c r="J28" s="89" t="s">
        <v>328</v>
      </c>
      <c r="K28" s="88">
        <v>-1311</v>
      </c>
      <c r="L28" s="88" t="s">
        <v>329</v>
      </c>
      <c r="M28" s="89" t="s">
        <v>209</v>
      </c>
      <c r="N28" s="89"/>
      <c r="O28" s="90" t="s">
        <v>259</v>
      </c>
      <c r="P28" s="90" t="s">
        <v>326</v>
      </c>
    </row>
    <row r="29" spans="1:16" ht="12.75" customHeight="1" thickBot="1" x14ac:dyDescent="0.25">
      <c r="A29" s="9" t="str">
        <f t="shared" si="0"/>
        <v> BBS 114 </v>
      </c>
      <c r="B29" s="16" t="str">
        <f t="shared" si="1"/>
        <v>I</v>
      </c>
      <c r="C29" s="9">
        <f t="shared" si="2"/>
        <v>50487.387000000002</v>
      </c>
      <c r="D29" s="14" t="str">
        <f t="shared" si="3"/>
        <v>vis</v>
      </c>
      <c r="E29" s="87">
        <f>VLOOKUP(C29,Active!C$21:E$972,3,FALSE)</f>
        <v>1516.9876710232638</v>
      </c>
      <c r="F29" s="16" t="s">
        <v>140</v>
      </c>
      <c r="G29" s="14" t="str">
        <f t="shared" si="4"/>
        <v>50487.387</v>
      </c>
      <c r="H29" s="9">
        <f t="shared" si="5"/>
        <v>-928</v>
      </c>
      <c r="I29" s="88" t="s">
        <v>330</v>
      </c>
      <c r="J29" s="89" t="s">
        <v>331</v>
      </c>
      <c r="K29" s="88">
        <v>-928</v>
      </c>
      <c r="L29" s="88" t="s">
        <v>332</v>
      </c>
      <c r="M29" s="89" t="s">
        <v>209</v>
      </c>
      <c r="N29" s="89"/>
      <c r="O29" s="90" t="s">
        <v>259</v>
      </c>
      <c r="P29" s="90" t="s">
        <v>333</v>
      </c>
    </row>
    <row r="30" spans="1:16" ht="12.75" customHeight="1" thickBot="1" x14ac:dyDescent="0.25">
      <c r="A30" s="9" t="str">
        <f t="shared" si="0"/>
        <v> BBS 114 </v>
      </c>
      <c r="B30" s="16" t="str">
        <f t="shared" si="1"/>
        <v>I</v>
      </c>
      <c r="C30" s="9">
        <f t="shared" si="2"/>
        <v>50487.398000000001</v>
      </c>
      <c r="D30" s="14" t="str">
        <f t="shared" si="3"/>
        <v>vis</v>
      </c>
      <c r="E30" s="87">
        <f>VLOOKUP(C30,Active!C$21:E$972,3,FALSE)</f>
        <v>1516.9896489243545</v>
      </c>
      <c r="F30" s="16" t="s">
        <v>140</v>
      </c>
      <c r="G30" s="14" t="str">
        <f t="shared" si="4"/>
        <v>50487.398</v>
      </c>
      <c r="H30" s="9">
        <f t="shared" si="5"/>
        <v>-928</v>
      </c>
      <c r="I30" s="88" t="s">
        <v>334</v>
      </c>
      <c r="J30" s="89" t="s">
        <v>335</v>
      </c>
      <c r="K30" s="88">
        <v>-928</v>
      </c>
      <c r="L30" s="88" t="s">
        <v>336</v>
      </c>
      <c r="M30" s="89" t="s">
        <v>209</v>
      </c>
      <c r="N30" s="89"/>
      <c r="O30" s="90" t="s">
        <v>254</v>
      </c>
      <c r="P30" s="90" t="s">
        <v>333</v>
      </c>
    </row>
    <row r="31" spans="1:16" ht="12.75" customHeight="1" thickBot="1" x14ac:dyDescent="0.25">
      <c r="A31" s="9" t="str">
        <f t="shared" si="0"/>
        <v> BBS 129 </v>
      </c>
      <c r="B31" s="16" t="str">
        <f t="shared" si="1"/>
        <v>I</v>
      </c>
      <c r="C31" s="9">
        <f t="shared" si="2"/>
        <v>52667.474000000002</v>
      </c>
      <c r="D31" s="14" t="str">
        <f t="shared" si="3"/>
        <v>vis</v>
      </c>
      <c r="E31" s="87">
        <f>VLOOKUP(C31,Active!C$21:E$972,3,FALSE)</f>
        <v>1908.9873488051951</v>
      </c>
      <c r="F31" s="16" t="s">
        <v>140</v>
      </c>
      <c r="G31" s="14" t="str">
        <f t="shared" si="4"/>
        <v>52667.474</v>
      </c>
      <c r="H31" s="9">
        <f t="shared" si="5"/>
        <v>-536</v>
      </c>
      <c r="I31" s="88" t="s">
        <v>341</v>
      </c>
      <c r="J31" s="89" t="s">
        <v>342</v>
      </c>
      <c r="K31" s="88">
        <v>-536</v>
      </c>
      <c r="L31" s="88" t="s">
        <v>343</v>
      </c>
      <c r="M31" s="89" t="s">
        <v>209</v>
      </c>
      <c r="N31" s="89"/>
      <c r="O31" s="90" t="s">
        <v>254</v>
      </c>
      <c r="P31" s="90" t="s">
        <v>344</v>
      </c>
    </row>
    <row r="32" spans="1:16" ht="12.75" customHeight="1" thickBot="1" x14ac:dyDescent="0.25">
      <c r="A32" s="9" t="str">
        <f t="shared" si="0"/>
        <v>BAVM 174 </v>
      </c>
      <c r="B32" s="16" t="str">
        <f t="shared" si="1"/>
        <v>I</v>
      </c>
      <c r="C32" s="9">
        <f t="shared" si="2"/>
        <v>53440.517</v>
      </c>
      <c r="D32" s="14" t="str">
        <f t="shared" si="3"/>
        <v>vis</v>
      </c>
      <c r="E32" s="87">
        <f>VLOOKUP(C32,Active!C$21:E$972,3,FALSE)</f>
        <v>2047.987584535043</v>
      </c>
      <c r="F32" s="16" t="s">
        <v>140</v>
      </c>
      <c r="G32" s="14" t="str">
        <f t="shared" si="4"/>
        <v>53440.517</v>
      </c>
      <c r="H32" s="9">
        <f t="shared" si="5"/>
        <v>-397</v>
      </c>
      <c r="I32" s="88" t="s">
        <v>350</v>
      </c>
      <c r="J32" s="89" t="s">
        <v>351</v>
      </c>
      <c r="K32" s="88">
        <v>-397</v>
      </c>
      <c r="L32" s="88" t="s">
        <v>339</v>
      </c>
      <c r="M32" s="89" t="s">
        <v>209</v>
      </c>
      <c r="N32" s="89"/>
      <c r="O32" s="90" t="s">
        <v>348</v>
      </c>
      <c r="P32" s="91" t="s">
        <v>352</v>
      </c>
    </row>
    <row r="33" spans="1:16" ht="12.75" customHeight="1" thickBot="1" x14ac:dyDescent="0.25">
      <c r="A33" s="9" t="str">
        <f t="shared" si="0"/>
        <v>BAVM 186 </v>
      </c>
      <c r="B33" s="16" t="str">
        <f t="shared" si="1"/>
        <v>I</v>
      </c>
      <c r="C33" s="9">
        <f t="shared" si="2"/>
        <v>54202.435799999999</v>
      </c>
      <c r="D33" s="14" t="str">
        <f t="shared" si="3"/>
        <v>vis</v>
      </c>
      <c r="E33" s="87">
        <f>VLOOKUP(C33,Active!C$21:E$972,3,FALSE)</f>
        <v>2184.9875868725621</v>
      </c>
      <c r="F33" s="16" t="s">
        <v>140</v>
      </c>
      <c r="G33" s="14" t="str">
        <f t="shared" si="4"/>
        <v>54202.4358</v>
      </c>
      <c r="H33" s="9">
        <f t="shared" si="5"/>
        <v>-260</v>
      </c>
      <c r="I33" s="88" t="s">
        <v>356</v>
      </c>
      <c r="J33" s="89" t="s">
        <v>357</v>
      </c>
      <c r="K33" s="88">
        <v>-260</v>
      </c>
      <c r="L33" s="88" t="s">
        <v>358</v>
      </c>
      <c r="M33" s="89" t="s">
        <v>359</v>
      </c>
      <c r="N33" s="89" t="s">
        <v>360</v>
      </c>
      <c r="O33" s="90" t="s">
        <v>361</v>
      </c>
      <c r="P33" s="91" t="s">
        <v>362</v>
      </c>
    </row>
    <row r="34" spans="1:16" ht="12.75" customHeight="1" thickBot="1" x14ac:dyDescent="0.25">
      <c r="A34" s="9" t="str">
        <f t="shared" si="0"/>
        <v>BAVM 201 </v>
      </c>
      <c r="B34" s="16" t="str">
        <f t="shared" si="1"/>
        <v>I</v>
      </c>
      <c r="C34" s="9">
        <f t="shared" si="2"/>
        <v>54508.315799999997</v>
      </c>
      <c r="D34" s="14" t="str">
        <f t="shared" si="3"/>
        <v>vis</v>
      </c>
      <c r="E34" s="87">
        <f>VLOOKUP(C34,Active!C$21:E$972,3,FALSE)</f>
        <v>2239.9876219353537</v>
      </c>
      <c r="F34" s="16" t="s">
        <v>140</v>
      </c>
      <c r="G34" s="14" t="str">
        <f t="shared" si="4"/>
        <v>54508.3158</v>
      </c>
      <c r="H34" s="9">
        <f t="shared" si="5"/>
        <v>-205</v>
      </c>
      <c r="I34" s="88" t="s">
        <v>363</v>
      </c>
      <c r="J34" s="89" t="s">
        <v>364</v>
      </c>
      <c r="K34" s="88" t="s">
        <v>365</v>
      </c>
      <c r="L34" s="88" t="s">
        <v>366</v>
      </c>
      <c r="M34" s="89" t="s">
        <v>359</v>
      </c>
      <c r="N34" s="89" t="s">
        <v>360</v>
      </c>
      <c r="O34" s="90" t="s">
        <v>361</v>
      </c>
      <c r="P34" s="91" t="s">
        <v>367</v>
      </c>
    </row>
    <row r="35" spans="1:16" ht="12.75" customHeight="1" thickBot="1" x14ac:dyDescent="0.25">
      <c r="A35" s="9" t="str">
        <f t="shared" si="0"/>
        <v>IBVS 5871 </v>
      </c>
      <c r="B35" s="16" t="str">
        <f t="shared" si="1"/>
        <v>I</v>
      </c>
      <c r="C35" s="9">
        <f t="shared" si="2"/>
        <v>54830.881000000001</v>
      </c>
      <c r="D35" s="14" t="str">
        <f t="shared" si="3"/>
        <v>vis</v>
      </c>
      <c r="E35" s="87">
        <f>VLOOKUP(C35,Active!C$21:E$972,3,FALSE)</f>
        <v>2297.9878092965309</v>
      </c>
      <c r="F35" s="16" t="s">
        <v>140</v>
      </c>
      <c r="G35" s="14" t="str">
        <f t="shared" si="4"/>
        <v>54830.8810</v>
      </c>
      <c r="H35" s="9">
        <f t="shared" si="5"/>
        <v>-147</v>
      </c>
      <c r="I35" s="88" t="s">
        <v>368</v>
      </c>
      <c r="J35" s="89" t="s">
        <v>369</v>
      </c>
      <c r="K35" s="88" t="s">
        <v>370</v>
      </c>
      <c r="L35" s="88" t="s">
        <v>371</v>
      </c>
      <c r="M35" s="89" t="s">
        <v>359</v>
      </c>
      <c r="N35" s="89" t="s">
        <v>140</v>
      </c>
      <c r="O35" s="90" t="s">
        <v>372</v>
      </c>
      <c r="P35" s="91" t="s">
        <v>373</v>
      </c>
    </row>
    <row r="36" spans="1:16" ht="12.75" customHeight="1" thickBot="1" x14ac:dyDescent="0.25">
      <c r="A36" s="9" t="str">
        <f t="shared" si="0"/>
        <v>BAVM 220 </v>
      </c>
      <c r="B36" s="16" t="str">
        <f t="shared" si="1"/>
        <v>I</v>
      </c>
      <c r="C36" s="9">
        <f t="shared" si="2"/>
        <v>55648.419699999999</v>
      </c>
      <c r="D36" s="14" t="str">
        <f t="shared" si="3"/>
        <v>vis</v>
      </c>
      <c r="E36" s="87">
        <f>VLOOKUP(C36,Active!C$21:E$972,3,FALSE)</f>
        <v>2444.9887808055842</v>
      </c>
      <c r="F36" s="16" t="s">
        <v>140</v>
      </c>
      <c r="G36" s="14" t="str">
        <f t="shared" si="4"/>
        <v>55648.4197</v>
      </c>
      <c r="H36" s="9">
        <f t="shared" si="5"/>
        <v>0</v>
      </c>
      <c r="I36" s="88" t="s">
        <v>374</v>
      </c>
      <c r="J36" s="89" t="s">
        <v>375</v>
      </c>
      <c r="K36" s="88" t="s">
        <v>376</v>
      </c>
      <c r="L36" s="88" t="s">
        <v>377</v>
      </c>
      <c r="M36" s="89" t="s">
        <v>359</v>
      </c>
      <c r="N36" s="89" t="s">
        <v>378</v>
      </c>
      <c r="O36" s="90" t="s">
        <v>379</v>
      </c>
      <c r="P36" s="91" t="s">
        <v>380</v>
      </c>
    </row>
    <row r="37" spans="1:16" ht="12.75" customHeight="1" thickBot="1" x14ac:dyDescent="0.25">
      <c r="A37" s="9" t="str">
        <f t="shared" si="0"/>
        <v>BAVM 238 </v>
      </c>
      <c r="B37" s="16" t="str">
        <f t="shared" si="1"/>
        <v>I</v>
      </c>
      <c r="C37" s="9">
        <f t="shared" si="2"/>
        <v>56727.348700000002</v>
      </c>
      <c r="D37" s="14" t="str">
        <f t="shared" si="3"/>
        <v>vis</v>
      </c>
      <c r="E37" s="87">
        <f>VLOOKUP(C37,Active!C$21:E$972,3,FALSE)</f>
        <v>2638.9901304533655</v>
      </c>
      <c r="F37" s="16" t="s">
        <v>140</v>
      </c>
      <c r="G37" s="14" t="str">
        <f t="shared" si="4"/>
        <v>56727.3487</v>
      </c>
      <c r="H37" s="9">
        <f t="shared" si="5"/>
        <v>194</v>
      </c>
      <c r="I37" s="88" t="s">
        <v>381</v>
      </c>
      <c r="J37" s="89" t="s">
        <v>382</v>
      </c>
      <c r="K37" s="88" t="s">
        <v>383</v>
      </c>
      <c r="L37" s="88" t="s">
        <v>384</v>
      </c>
      <c r="M37" s="89" t="s">
        <v>359</v>
      </c>
      <c r="N37" s="89" t="s">
        <v>360</v>
      </c>
      <c r="O37" s="90" t="s">
        <v>361</v>
      </c>
      <c r="P37" s="91" t="s">
        <v>385</v>
      </c>
    </row>
    <row r="38" spans="1:16" ht="12.75" customHeight="1" thickBot="1" x14ac:dyDescent="0.25">
      <c r="A38" s="9" t="str">
        <f t="shared" si="0"/>
        <v> AN 252.201 </v>
      </c>
      <c r="B38" s="16" t="str">
        <f t="shared" si="1"/>
        <v>I</v>
      </c>
      <c r="C38" s="9">
        <f t="shared" si="2"/>
        <v>21284.2</v>
      </c>
      <c r="D38" s="14" t="str">
        <f t="shared" si="3"/>
        <v>vis</v>
      </c>
      <c r="E38" s="87">
        <f>VLOOKUP(C38,Active!C$21:E$972,3,FALSE)</f>
        <v>-3734.0137313086102</v>
      </c>
      <c r="F38" s="16" t="s">
        <v>140</v>
      </c>
      <c r="G38" s="14" t="str">
        <f t="shared" si="4"/>
        <v>21284.2</v>
      </c>
      <c r="H38" s="9">
        <f t="shared" si="5"/>
        <v>-6179</v>
      </c>
      <c r="I38" s="88" t="s">
        <v>155</v>
      </c>
      <c r="J38" s="89" t="s">
        <v>156</v>
      </c>
      <c r="K38" s="88">
        <v>-6179</v>
      </c>
      <c r="L38" s="88" t="s">
        <v>157</v>
      </c>
      <c r="M38" s="89" t="s">
        <v>158</v>
      </c>
      <c r="N38" s="89"/>
      <c r="O38" s="90" t="s">
        <v>159</v>
      </c>
      <c r="P38" s="90" t="s">
        <v>160</v>
      </c>
    </row>
    <row r="39" spans="1:16" ht="12.75" customHeight="1" thickBot="1" x14ac:dyDescent="0.25">
      <c r="A39" s="9" t="str">
        <f t="shared" si="0"/>
        <v> AN 253.206 </v>
      </c>
      <c r="B39" s="16" t="str">
        <f t="shared" si="1"/>
        <v>I</v>
      </c>
      <c r="C39" s="9">
        <f t="shared" si="2"/>
        <v>25644.376</v>
      </c>
      <c r="D39" s="14" t="str">
        <f t="shared" si="3"/>
        <v>vis</v>
      </c>
      <c r="E39" s="87">
        <f>VLOOKUP(C39,Active!C$21:E$972,3,FALSE)</f>
        <v>-2950.0140161263671</v>
      </c>
      <c r="F39" s="16" t="s">
        <v>140</v>
      </c>
      <c r="G39" s="14" t="str">
        <f t="shared" si="4"/>
        <v>25644.376</v>
      </c>
      <c r="H39" s="9">
        <f t="shared" si="5"/>
        <v>-5395</v>
      </c>
      <c r="I39" s="88" t="s">
        <v>161</v>
      </c>
      <c r="J39" s="89" t="s">
        <v>162</v>
      </c>
      <c r="K39" s="88">
        <v>-5395</v>
      </c>
      <c r="L39" s="88" t="s">
        <v>163</v>
      </c>
      <c r="M39" s="89" t="s">
        <v>158</v>
      </c>
      <c r="N39" s="89"/>
      <c r="O39" s="90" t="s">
        <v>164</v>
      </c>
      <c r="P39" s="90" t="s">
        <v>165</v>
      </c>
    </row>
    <row r="40" spans="1:16" ht="12.75" customHeight="1" thickBot="1" x14ac:dyDescent="0.25">
      <c r="A40" s="9" t="str">
        <f t="shared" si="0"/>
        <v> AN 253.206 </v>
      </c>
      <c r="B40" s="16" t="str">
        <f t="shared" si="1"/>
        <v>I</v>
      </c>
      <c r="C40" s="9">
        <f t="shared" si="2"/>
        <v>26000.510999999999</v>
      </c>
      <c r="D40" s="14" t="str">
        <f t="shared" si="3"/>
        <v>vis</v>
      </c>
      <c r="E40" s="87">
        <f>VLOOKUP(C40,Active!C$21:E$972,3,FALSE)</f>
        <v>-2885.9776702159206</v>
      </c>
      <c r="F40" s="16" t="s">
        <v>140</v>
      </c>
      <c r="G40" s="14" t="str">
        <f t="shared" si="4"/>
        <v>26000.511</v>
      </c>
      <c r="H40" s="9">
        <f t="shared" si="5"/>
        <v>-5331</v>
      </c>
      <c r="I40" s="88" t="s">
        <v>166</v>
      </c>
      <c r="J40" s="89" t="s">
        <v>167</v>
      </c>
      <c r="K40" s="88">
        <v>-5331</v>
      </c>
      <c r="L40" s="88" t="s">
        <v>168</v>
      </c>
      <c r="M40" s="89" t="s">
        <v>158</v>
      </c>
      <c r="N40" s="89"/>
      <c r="O40" s="90" t="s">
        <v>164</v>
      </c>
      <c r="P40" s="90" t="s">
        <v>165</v>
      </c>
    </row>
    <row r="41" spans="1:16" ht="12.75" customHeight="1" thickBot="1" x14ac:dyDescent="0.25">
      <c r="A41" s="9" t="str">
        <f t="shared" si="0"/>
        <v> AN 253.206 </v>
      </c>
      <c r="B41" s="16" t="str">
        <f t="shared" si="1"/>
        <v>I</v>
      </c>
      <c r="C41" s="9">
        <f t="shared" si="2"/>
        <v>26039.428</v>
      </c>
      <c r="D41" s="14" t="str">
        <f t="shared" si="3"/>
        <v>vis</v>
      </c>
      <c r="E41" s="87">
        <f>VLOOKUP(C41,Active!C$21:E$972,3,FALSE)</f>
        <v>-2878.9800359654346</v>
      </c>
      <c r="F41" s="16" t="s">
        <v>140</v>
      </c>
      <c r="G41" s="14" t="str">
        <f t="shared" si="4"/>
        <v>26039.428</v>
      </c>
      <c r="H41" s="9">
        <f t="shared" si="5"/>
        <v>-5324</v>
      </c>
      <c r="I41" s="88" t="s">
        <v>169</v>
      </c>
      <c r="J41" s="89" t="s">
        <v>170</v>
      </c>
      <c r="K41" s="88">
        <v>-5324</v>
      </c>
      <c r="L41" s="88" t="s">
        <v>171</v>
      </c>
      <c r="M41" s="89" t="s">
        <v>158</v>
      </c>
      <c r="N41" s="89"/>
      <c r="O41" s="90" t="s">
        <v>164</v>
      </c>
      <c r="P41" s="90" t="s">
        <v>165</v>
      </c>
    </row>
    <row r="42" spans="1:16" ht="12.75" customHeight="1" thickBot="1" x14ac:dyDescent="0.25">
      <c r="A42" s="9" t="str">
        <f t="shared" si="0"/>
        <v> AN 253.206 </v>
      </c>
      <c r="B42" s="16" t="str">
        <f t="shared" si="1"/>
        <v>I</v>
      </c>
      <c r="C42" s="9">
        <f t="shared" si="2"/>
        <v>26089.352999999999</v>
      </c>
      <c r="D42" s="14" t="str">
        <f t="shared" si="3"/>
        <v>vis</v>
      </c>
      <c r="E42" s="87">
        <f>VLOOKUP(C42,Active!C$21:E$972,3,FALSE)</f>
        <v>-2870.0030621505075</v>
      </c>
      <c r="F42" s="16" t="s">
        <v>140</v>
      </c>
      <c r="G42" s="14" t="str">
        <f t="shared" si="4"/>
        <v>26089.353</v>
      </c>
      <c r="H42" s="9">
        <f t="shared" si="5"/>
        <v>-5315</v>
      </c>
      <c r="I42" s="88" t="s">
        <v>172</v>
      </c>
      <c r="J42" s="89" t="s">
        <v>173</v>
      </c>
      <c r="K42" s="88">
        <v>-5315</v>
      </c>
      <c r="L42" s="88" t="s">
        <v>174</v>
      </c>
      <c r="M42" s="89" t="s">
        <v>158</v>
      </c>
      <c r="N42" s="89"/>
      <c r="O42" s="90" t="s">
        <v>164</v>
      </c>
      <c r="P42" s="90" t="s">
        <v>165</v>
      </c>
    </row>
    <row r="43" spans="1:16" ht="12.75" customHeight="1" thickBot="1" x14ac:dyDescent="0.25">
      <c r="A43" s="9" t="str">
        <f t="shared" ref="A43:A69" si="6">P43</f>
        <v> AN 253.206 </v>
      </c>
      <c r="B43" s="16" t="str">
        <f t="shared" ref="B43:B69" si="7">IF(H43=INT(H43),"I","II")</f>
        <v>I</v>
      </c>
      <c r="C43" s="9">
        <f t="shared" ref="C43:C69" si="8">1*G43</f>
        <v>26417.439999999999</v>
      </c>
      <c r="D43" s="14" t="str">
        <f t="shared" ref="D43:D69" si="9">VLOOKUP(F43,I$1:J$5,2,FALSE)</f>
        <v>vis</v>
      </c>
      <c r="E43" s="87">
        <f>VLOOKUP(C43,Active!C$21:E$972,3,FALSE)</f>
        <v>-2811.0100044035275</v>
      </c>
      <c r="F43" s="16" t="s">
        <v>140</v>
      </c>
      <c r="G43" s="14" t="str">
        <f t="shared" ref="G43:G69" si="10">MID(I43,3,LEN(I43)-3)</f>
        <v>26417.440</v>
      </c>
      <c r="H43" s="9">
        <f t="shared" ref="H43:H69" si="11">1*K43</f>
        <v>-5256</v>
      </c>
      <c r="I43" s="88" t="s">
        <v>175</v>
      </c>
      <c r="J43" s="89" t="s">
        <v>176</v>
      </c>
      <c r="K43" s="88">
        <v>-5256</v>
      </c>
      <c r="L43" s="88" t="s">
        <v>177</v>
      </c>
      <c r="M43" s="89" t="s">
        <v>158</v>
      </c>
      <c r="N43" s="89"/>
      <c r="O43" s="90" t="s">
        <v>164</v>
      </c>
      <c r="P43" s="90" t="s">
        <v>165</v>
      </c>
    </row>
    <row r="44" spans="1:16" ht="12.75" customHeight="1" thickBot="1" x14ac:dyDescent="0.25">
      <c r="A44" s="9" t="str">
        <f t="shared" si="6"/>
        <v> AN 253.206 </v>
      </c>
      <c r="B44" s="16" t="str">
        <f t="shared" si="7"/>
        <v>I</v>
      </c>
      <c r="C44" s="9">
        <f t="shared" si="8"/>
        <v>26745.396000000001</v>
      </c>
      <c r="D44" s="14" t="str">
        <f t="shared" si="9"/>
        <v>vis</v>
      </c>
      <c r="E44" s="87">
        <f>VLOOKUP(C44,Active!C$21:E$972,3,FALSE)</f>
        <v>-2752.0405016604482</v>
      </c>
      <c r="F44" s="16" t="s">
        <v>140</v>
      </c>
      <c r="G44" s="14" t="str">
        <f t="shared" si="10"/>
        <v>26745.396</v>
      </c>
      <c r="H44" s="9">
        <f t="shared" si="11"/>
        <v>-5197</v>
      </c>
      <c r="I44" s="88" t="s">
        <v>178</v>
      </c>
      <c r="J44" s="89" t="s">
        <v>179</v>
      </c>
      <c r="K44" s="88">
        <v>-5197</v>
      </c>
      <c r="L44" s="88" t="s">
        <v>180</v>
      </c>
      <c r="M44" s="89" t="s">
        <v>158</v>
      </c>
      <c r="N44" s="89"/>
      <c r="O44" s="90" t="s">
        <v>164</v>
      </c>
      <c r="P44" s="90" t="s">
        <v>165</v>
      </c>
    </row>
    <row r="45" spans="1:16" ht="12.75" customHeight="1" thickBot="1" x14ac:dyDescent="0.25">
      <c r="A45" s="9" t="str">
        <f t="shared" si="6"/>
        <v> AN 253.206 </v>
      </c>
      <c r="B45" s="16" t="str">
        <f t="shared" si="7"/>
        <v>I</v>
      </c>
      <c r="C45" s="9">
        <f t="shared" si="8"/>
        <v>26984.627</v>
      </c>
      <c r="D45" s="14" t="str">
        <f t="shared" si="9"/>
        <v>vis</v>
      </c>
      <c r="E45" s="87">
        <f>VLOOKUP(C45,Active!C$21:E$972,3,FALSE)</f>
        <v>-2709.0245693075426</v>
      </c>
      <c r="F45" s="16" t="s">
        <v>140</v>
      </c>
      <c r="G45" s="14" t="str">
        <f t="shared" si="10"/>
        <v>26984.627</v>
      </c>
      <c r="H45" s="9">
        <f t="shared" si="11"/>
        <v>-5154</v>
      </c>
      <c r="I45" s="88" t="s">
        <v>181</v>
      </c>
      <c r="J45" s="89" t="s">
        <v>182</v>
      </c>
      <c r="K45" s="88">
        <v>-5154</v>
      </c>
      <c r="L45" s="88" t="s">
        <v>183</v>
      </c>
      <c r="M45" s="89" t="s">
        <v>158</v>
      </c>
      <c r="N45" s="89"/>
      <c r="O45" s="90" t="s">
        <v>164</v>
      </c>
      <c r="P45" s="90" t="s">
        <v>165</v>
      </c>
    </row>
    <row r="46" spans="1:16" ht="12.75" customHeight="1" thickBot="1" x14ac:dyDescent="0.25">
      <c r="A46" s="9" t="str">
        <f t="shared" si="6"/>
        <v> AN 253.206 </v>
      </c>
      <c r="B46" s="16" t="str">
        <f t="shared" si="7"/>
        <v>I</v>
      </c>
      <c r="C46" s="9">
        <f t="shared" si="8"/>
        <v>27062.444</v>
      </c>
      <c r="D46" s="14" t="str">
        <f t="shared" si="9"/>
        <v>vis</v>
      </c>
      <c r="E46" s="87">
        <f>VLOOKUP(C46,Active!C$21:E$972,3,FALSE)</f>
        <v>-2695.0323575628017</v>
      </c>
      <c r="F46" s="16" t="s">
        <v>140</v>
      </c>
      <c r="G46" s="14" t="str">
        <f t="shared" si="10"/>
        <v>27062.444</v>
      </c>
      <c r="H46" s="9">
        <f t="shared" si="11"/>
        <v>-5140</v>
      </c>
      <c r="I46" s="88" t="s">
        <v>184</v>
      </c>
      <c r="J46" s="89" t="s">
        <v>185</v>
      </c>
      <c r="K46" s="88">
        <v>-5140</v>
      </c>
      <c r="L46" s="88" t="s">
        <v>186</v>
      </c>
      <c r="M46" s="89" t="s">
        <v>158</v>
      </c>
      <c r="N46" s="89"/>
      <c r="O46" s="90" t="s">
        <v>164</v>
      </c>
      <c r="P46" s="90" t="s">
        <v>165</v>
      </c>
    </row>
    <row r="47" spans="1:16" ht="12.75" customHeight="1" thickBot="1" x14ac:dyDescent="0.25">
      <c r="A47" s="9" t="str">
        <f t="shared" si="6"/>
        <v> AN 255.176 </v>
      </c>
      <c r="B47" s="16" t="str">
        <f t="shared" si="7"/>
        <v>I</v>
      </c>
      <c r="C47" s="9">
        <f t="shared" si="8"/>
        <v>27101.506000000001</v>
      </c>
      <c r="D47" s="14" t="str">
        <f t="shared" si="9"/>
        <v>vis</v>
      </c>
      <c r="E47" s="87">
        <f>VLOOKUP(C47,Active!C$21:E$972,3,FALSE)</f>
        <v>-2688.0086509797534</v>
      </c>
      <c r="F47" s="16" t="s">
        <v>140</v>
      </c>
      <c r="G47" s="14" t="str">
        <f t="shared" si="10"/>
        <v>27101.506</v>
      </c>
      <c r="H47" s="9">
        <f t="shared" si="11"/>
        <v>-5133</v>
      </c>
      <c r="I47" s="88" t="s">
        <v>187</v>
      </c>
      <c r="J47" s="89" t="s">
        <v>188</v>
      </c>
      <c r="K47" s="88">
        <v>-5133</v>
      </c>
      <c r="L47" s="88" t="s">
        <v>189</v>
      </c>
      <c r="M47" s="89" t="s">
        <v>154</v>
      </c>
      <c r="N47" s="89"/>
      <c r="O47" s="90" t="s">
        <v>190</v>
      </c>
      <c r="P47" s="90" t="s">
        <v>191</v>
      </c>
    </row>
    <row r="48" spans="1:16" ht="12.75" customHeight="1" thickBot="1" x14ac:dyDescent="0.25">
      <c r="A48" s="9" t="str">
        <f t="shared" si="6"/>
        <v> AN 253.206 </v>
      </c>
      <c r="B48" s="16" t="str">
        <f t="shared" si="7"/>
        <v>I</v>
      </c>
      <c r="C48" s="9">
        <f t="shared" si="8"/>
        <v>27157.337</v>
      </c>
      <c r="D48" s="14" t="str">
        <f t="shared" si="9"/>
        <v>vis</v>
      </c>
      <c r="E48" s="87">
        <f>VLOOKUP(C48,Active!C$21:E$972,3,FALSE)</f>
        <v>-2677.9697240881924</v>
      </c>
      <c r="F48" s="16" t="s">
        <v>140</v>
      </c>
      <c r="G48" s="14" t="str">
        <f t="shared" si="10"/>
        <v>27157.337</v>
      </c>
      <c r="H48" s="9">
        <f t="shared" si="11"/>
        <v>-5123</v>
      </c>
      <c r="I48" s="88" t="s">
        <v>192</v>
      </c>
      <c r="J48" s="89" t="s">
        <v>193</v>
      </c>
      <c r="K48" s="88">
        <v>-5123</v>
      </c>
      <c r="L48" s="88" t="s">
        <v>194</v>
      </c>
      <c r="M48" s="89" t="s">
        <v>158</v>
      </c>
      <c r="N48" s="89"/>
      <c r="O48" s="90" t="s">
        <v>164</v>
      </c>
      <c r="P48" s="90" t="s">
        <v>165</v>
      </c>
    </row>
    <row r="49" spans="1:16" ht="12.75" customHeight="1" thickBot="1" x14ac:dyDescent="0.25">
      <c r="A49" s="9" t="str">
        <f t="shared" si="6"/>
        <v> AN 253.206 </v>
      </c>
      <c r="B49" s="16" t="str">
        <f t="shared" si="7"/>
        <v>I</v>
      </c>
      <c r="C49" s="9">
        <f t="shared" si="8"/>
        <v>27396.495999999999</v>
      </c>
      <c r="D49" s="14" t="str">
        <f t="shared" si="9"/>
        <v>vis</v>
      </c>
      <c r="E49" s="87">
        <f>VLOOKUP(C49,Active!C$21:E$972,3,FALSE)</f>
        <v>-2634.9667379969728</v>
      </c>
      <c r="F49" s="16" t="s">
        <v>140</v>
      </c>
      <c r="G49" s="14" t="str">
        <f t="shared" si="10"/>
        <v>27396.496</v>
      </c>
      <c r="H49" s="9">
        <f t="shared" si="11"/>
        <v>-5080</v>
      </c>
      <c r="I49" s="88" t="s">
        <v>195</v>
      </c>
      <c r="J49" s="89" t="s">
        <v>196</v>
      </c>
      <c r="K49" s="88">
        <v>-5080</v>
      </c>
      <c r="L49" s="88" t="s">
        <v>197</v>
      </c>
      <c r="M49" s="89" t="s">
        <v>158</v>
      </c>
      <c r="N49" s="89"/>
      <c r="O49" s="90" t="s">
        <v>164</v>
      </c>
      <c r="P49" s="90" t="s">
        <v>165</v>
      </c>
    </row>
    <row r="50" spans="1:16" ht="12.75" customHeight="1" thickBot="1" x14ac:dyDescent="0.25">
      <c r="A50" s="9" t="str">
        <f t="shared" si="6"/>
        <v> HA 113.71 </v>
      </c>
      <c r="B50" s="16" t="str">
        <f t="shared" si="7"/>
        <v>I</v>
      </c>
      <c r="C50" s="9">
        <f t="shared" si="8"/>
        <v>27435.25</v>
      </c>
      <c r="D50" s="14" t="str">
        <f t="shared" si="9"/>
        <v>vis</v>
      </c>
      <c r="E50" s="87">
        <f>VLOOKUP(C50,Active!C$21:E$972,3,FALSE)</f>
        <v>-2627.9984126444701</v>
      </c>
      <c r="F50" s="16" t="s">
        <v>140</v>
      </c>
      <c r="G50" s="14" t="str">
        <f t="shared" si="10"/>
        <v>27435.250</v>
      </c>
      <c r="H50" s="9">
        <f t="shared" si="11"/>
        <v>-5073</v>
      </c>
      <c r="I50" s="88" t="s">
        <v>198</v>
      </c>
      <c r="J50" s="89" t="s">
        <v>199</v>
      </c>
      <c r="K50" s="88">
        <v>-5073</v>
      </c>
      <c r="L50" s="88" t="s">
        <v>200</v>
      </c>
      <c r="M50" s="89" t="s">
        <v>154</v>
      </c>
      <c r="N50" s="89"/>
      <c r="O50" s="90" t="s">
        <v>201</v>
      </c>
      <c r="P50" s="90" t="s">
        <v>202</v>
      </c>
    </row>
    <row r="51" spans="1:16" ht="12.75" customHeight="1" thickBot="1" x14ac:dyDescent="0.25">
      <c r="A51" s="9" t="str">
        <f t="shared" si="6"/>
        <v> AN 253.206 </v>
      </c>
      <c r="B51" s="16" t="str">
        <f t="shared" si="7"/>
        <v>I</v>
      </c>
      <c r="C51" s="9">
        <f t="shared" si="8"/>
        <v>27457.403999999999</v>
      </c>
      <c r="D51" s="14" t="str">
        <f t="shared" si="9"/>
        <v>vis</v>
      </c>
      <c r="E51" s="87">
        <f>VLOOKUP(C51,Active!C$21:E$972,3,FALSE)</f>
        <v>-2624.0149198473569</v>
      </c>
      <c r="F51" s="16" t="s">
        <v>140</v>
      </c>
      <c r="G51" s="14" t="str">
        <f t="shared" si="10"/>
        <v>27457.404</v>
      </c>
      <c r="H51" s="9">
        <f t="shared" si="11"/>
        <v>-5069</v>
      </c>
      <c r="I51" s="88" t="s">
        <v>203</v>
      </c>
      <c r="J51" s="89" t="s">
        <v>204</v>
      </c>
      <c r="K51" s="88">
        <v>-5069</v>
      </c>
      <c r="L51" s="88" t="s">
        <v>205</v>
      </c>
      <c r="M51" s="89" t="s">
        <v>158</v>
      </c>
      <c r="N51" s="89"/>
      <c r="O51" s="90" t="s">
        <v>164</v>
      </c>
      <c r="P51" s="90" t="s">
        <v>165</v>
      </c>
    </row>
    <row r="52" spans="1:16" ht="12.75" customHeight="1" thickBot="1" x14ac:dyDescent="0.25">
      <c r="A52" s="9" t="str">
        <f t="shared" si="6"/>
        <v> AN 277.40 </v>
      </c>
      <c r="B52" s="16" t="str">
        <f t="shared" si="7"/>
        <v>I</v>
      </c>
      <c r="C52" s="9">
        <f t="shared" si="8"/>
        <v>28547.514999999999</v>
      </c>
      <c r="D52" s="14" t="str">
        <f t="shared" si="9"/>
        <v>vis</v>
      </c>
      <c r="E52" s="87">
        <f>VLOOKUP(C52,Active!C$21:E$972,3,FALSE)</f>
        <v>-2428.0029438360602</v>
      </c>
      <c r="F52" s="16" t="s">
        <v>140</v>
      </c>
      <c r="G52" s="14" t="str">
        <f t="shared" si="10"/>
        <v>28547.515</v>
      </c>
      <c r="H52" s="9">
        <f t="shared" si="11"/>
        <v>-4873</v>
      </c>
      <c r="I52" s="88" t="s">
        <v>206</v>
      </c>
      <c r="J52" s="89" t="s">
        <v>207</v>
      </c>
      <c r="K52" s="88">
        <v>-4873</v>
      </c>
      <c r="L52" s="88" t="s">
        <v>208</v>
      </c>
      <c r="M52" s="89" t="s">
        <v>209</v>
      </c>
      <c r="N52" s="89"/>
      <c r="O52" s="90" t="s">
        <v>210</v>
      </c>
      <c r="P52" s="90" t="s">
        <v>211</v>
      </c>
    </row>
    <row r="53" spans="1:16" ht="12.75" customHeight="1" thickBot="1" x14ac:dyDescent="0.25">
      <c r="A53" s="9" t="str">
        <f t="shared" si="6"/>
        <v> AN 277.40 </v>
      </c>
      <c r="B53" s="16" t="str">
        <f t="shared" si="7"/>
        <v>I</v>
      </c>
      <c r="C53" s="9">
        <f t="shared" si="8"/>
        <v>28636.511999999999</v>
      </c>
      <c r="D53" s="14" t="str">
        <f t="shared" si="9"/>
        <v>vis</v>
      </c>
      <c r="E53" s="87">
        <f>VLOOKUP(C53,Active!C$21:E$972,3,FALSE)</f>
        <v>-2412.0004653461842</v>
      </c>
      <c r="F53" s="16" t="s">
        <v>140</v>
      </c>
      <c r="G53" s="14" t="str">
        <f t="shared" si="10"/>
        <v>28636.512</v>
      </c>
      <c r="H53" s="9">
        <f t="shared" si="11"/>
        <v>-4857</v>
      </c>
      <c r="I53" s="88" t="s">
        <v>212</v>
      </c>
      <c r="J53" s="89" t="s">
        <v>213</v>
      </c>
      <c r="K53" s="88">
        <v>-4857</v>
      </c>
      <c r="L53" s="88" t="s">
        <v>214</v>
      </c>
      <c r="M53" s="89" t="s">
        <v>209</v>
      </c>
      <c r="N53" s="89"/>
      <c r="O53" s="90" t="s">
        <v>210</v>
      </c>
      <c r="P53" s="90" t="s">
        <v>211</v>
      </c>
    </row>
    <row r="54" spans="1:16" ht="12.75" customHeight="1" thickBot="1" x14ac:dyDescent="0.25">
      <c r="A54" s="9" t="str">
        <f t="shared" si="6"/>
        <v> AN 277.40 </v>
      </c>
      <c r="B54" s="16" t="str">
        <f t="shared" si="7"/>
        <v>I</v>
      </c>
      <c r="C54" s="9">
        <f t="shared" si="8"/>
        <v>28953.508000000002</v>
      </c>
      <c r="D54" s="14" t="str">
        <f t="shared" si="9"/>
        <v>vis</v>
      </c>
      <c r="E54" s="87">
        <f>VLOOKUP(C54,Active!C$21:E$972,3,FALSE)</f>
        <v>-2355.0016713264217</v>
      </c>
      <c r="F54" s="16" t="s">
        <v>140</v>
      </c>
      <c r="G54" s="14" t="str">
        <f t="shared" si="10"/>
        <v>28953.508</v>
      </c>
      <c r="H54" s="9">
        <f t="shared" si="11"/>
        <v>-4800</v>
      </c>
      <c r="I54" s="88" t="s">
        <v>215</v>
      </c>
      <c r="J54" s="89" t="s">
        <v>216</v>
      </c>
      <c r="K54" s="88">
        <v>-4800</v>
      </c>
      <c r="L54" s="88" t="s">
        <v>217</v>
      </c>
      <c r="M54" s="89" t="s">
        <v>209</v>
      </c>
      <c r="N54" s="89"/>
      <c r="O54" s="90" t="s">
        <v>210</v>
      </c>
      <c r="P54" s="90" t="s">
        <v>211</v>
      </c>
    </row>
    <row r="55" spans="1:16" ht="12.75" customHeight="1" thickBot="1" x14ac:dyDescent="0.25">
      <c r="A55" s="9" t="str">
        <f t="shared" si="6"/>
        <v> AN 277.40 </v>
      </c>
      <c r="B55" s="16" t="str">
        <f t="shared" si="7"/>
        <v>I</v>
      </c>
      <c r="C55" s="9">
        <f t="shared" si="8"/>
        <v>28964.637999999999</v>
      </c>
      <c r="D55" s="14" t="str">
        <f t="shared" si="9"/>
        <v>vis</v>
      </c>
      <c r="E55" s="87">
        <f>VLOOKUP(C55,Active!C$21:E$972,3,FALSE)</f>
        <v>-2353.0003950407909</v>
      </c>
      <c r="F55" s="16" t="s">
        <v>140</v>
      </c>
      <c r="G55" s="14" t="str">
        <f t="shared" si="10"/>
        <v>28964.638</v>
      </c>
      <c r="H55" s="9">
        <f t="shared" si="11"/>
        <v>-4798</v>
      </c>
      <c r="I55" s="88" t="s">
        <v>218</v>
      </c>
      <c r="J55" s="89" t="s">
        <v>219</v>
      </c>
      <c r="K55" s="88">
        <v>-4798</v>
      </c>
      <c r="L55" s="88" t="s">
        <v>174</v>
      </c>
      <c r="M55" s="89" t="s">
        <v>209</v>
      </c>
      <c r="N55" s="89"/>
      <c r="O55" s="90" t="s">
        <v>210</v>
      </c>
      <c r="P55" s="90" t="s">
        <v>211</v>
      </c>
    </row>
    <row r="56" spans="1:16" ht="12.75" customHeight="1" thickBot="1" x14ac:dyDescent="0.25">
      <c r="A56" s="9" t="str">
        <f t="shared" si="6"/>
        <v> AN 277.40 </v>
      </c>
      <c r="B56" s="16" t="str">
        <f t="shared" si="7"/>
        <v>I</v>
      </c>
      <c r="C56" s="9">
        <f t="shared" si="8"/>
        <v>28981.315999999999</v>
      </c>
      <c r="D56" s="14" t="str">
        <f t="shared" si="9"/>
        <v>vis</v>
      </c>
      <c r="E56" s="87">
        <f>VLOOKUP(C56,Active!C$21:E$972,3,FALSE)</f>
        <v>-2350.0015373685756</v>
      </c>
      <c r="F56" s="16" t="s">
        <v>140</v>
      </c>
      <c r="G56" s="14" t="str">
        <f t="shared" si="10"/>
        <v>28981.316</v>
      </c>
      <c r="H56" s="9">
        <f t="shared" si="11"/>
        <v>-4795</v>
      </c>
      <c r="I56" s="88" t="s">
        <v>220</v>
      </c>
      <c r="J56" s="89" t="s">
        <v>221</v>
      </c>
      <c r="K56" s="88">
        <v>-4795</v>
      </c>
      <c r="L56" s="88" t="s">
        <v>222</v>
      </c>
      <c r="M56" s="89" t="s">
        <v>209</v>
      </c>
      <c r="N56" s="89"/>
      <c r="O56" s="90" t="s">
        <v>210</v>
      </c>
      <c r="P56" s="90" t="s">
        <v>211</v>
      </c>
    </row>
    <row r="57" spans="1:16" ht="12.75" customHeight="1" thickBot="1" x14ac:dyDescent="0.25">
      <c r="A57" s="9" t="str">
        <f t="shared" si="6"/>
        <v> AJ 64.260 </v>
      </c>
      <c r="B57" s="16" t="str">
        <f t="shared" si="7"/>
        <v>I</v>
      </c>
      <c r="C57" s="9">
        <f t="shared" si="8"/>
        <v>30760.991000000002</v>
      </c>
      <c r="D57" s="14" t="str">
        <f t="shared" si="9"/>
        <v>vis</v>
      </c>
      <c r="E57" s="87">
        <f>VLOOKUP(C57,Active!C$21:E$972,3,FALSE)</f>
        <v>-2029.9996170064251</v>
      </c>
      <c r="F57" s="16" t="s">
        <v>140</v>
      </c>
      <c r="G57" s="14" t="str">
        <f t="shared" si="10"/>
        <v>30760.991</v>
      </c>
      <c r="H57" s="9">
        <f t="shared" si="11"/>
        <v>-4475</v>
      </c>
      <c r="I57" s="88" t="s">
        <v>223</v>
      </c>
      <c r="J57" s="89" t="s">
        <v>224</v>
      </c>
      <c r="K57" s="88">
        <v>-4475</v>
      </c>
      <c r="L57" s="88" t="s">
        <v>225</v>
      </c>
      <c r="M57" s="89" t="s">
        <v>154</v>
      </c>
      <c r="N57" s="89"/>
      <c r="O57" s="90" t="s">
        <v>226</v>
      </c>
      <c r="P57" s="90" t="s">
        <v>227</v>
      </c>
    </row>
    <row r="58" spans="1:16" ht="12.75" customHeight="1" thickBot="1" x14ac:dyDescent="0.25">
      <c r="A58" s="9" t="str">
        <f t="shared" si="6"/>
        <v> AJ 64.260 </v>
      </c>
      <c r="B58" s="16" t="str">
        <f t="shared" si="7"/>
        <v>I</v>
      </c>
      <c r="C58" s="9">
        <f t="shared" si="8"/>
        <v>31550.741999999998</v>
      </c>
      <c r="D58" s="14" t="str">
        <f t="shared" si="9"/>
        <v>vis</v>
      </c>
      <c r="E58" s="87">
        <f>VLOOKUP(C58,Active!C$21:E$972,3,FALSE)</f>
        <v>-1887.9951293286595</v>
      </c>
      <c r="F58" s="16" t="s">
        <v>140</v>
      </c>
      <c r="G58" s="14" t="str">
        <f t="shared" si="10"/>
        <v>31550.742</v>
      </c>
      <c r="H58" s="9">
        <f t="shared" si="11"/>
        <v>-4333</v>
      </c>
      <c r="I58" s="88" t="s">
        <v>228</v>
      </c>
      <c r="J58" s="89" t="s">
        <v>229</v>
      </c>
      <c r="K58" s="88">
        <v>-4333</v>
      </c>
      <c r="L58" s="88" t="s">
        <v>230</v>
      </c>
      <c r="M58" s="89" t="s">
        <v>154</v>
      </c>
      <c r="N58" s="89"/>
      <c r="O58" s="90" t="s">
        <v>226</v>
      </c>
      <c r="P58" s="90" t="s">
        <v>227</v>
      </c>
    </row>
    <row r="59" spans="1:16" ht="12.75" customHeight="1" thickBot="1" x14ac:dyDescent="0.25">
      <c r="A59" s="9" t="str">
        <f t="shared" si="6"/>
        <v> AJ 64.260 </v>
      </c>
      <c r="B59" s="16" t="str">
        <f t="shared" si="7"/>
        <v>I</v>
      </c>
      <c r="C59" s="9">
        <f t="shared" si="8"/>
        <v>32156.917000000001</v>
      </c>
      <c r="D59" s="14" t="str">
        <f t="shared" si="9"/>
        <v>vis</v>
      </c>
      <c r="E59" s="87">
        <f>VLOOKUP(C59,Active!C$21:E$972,3,FALSE)</f>
        <v>-1778.9992935296921</v>
      </c>
      <c r="F59" s="16" t="s">
        <v>140</v>
      </c>
      <c r="G59" s="14" t="str">
        <f t="shared" si="10"/>
        <v>32156.917</v>
      </c>
      <c r="H59" s="9">
        <f t="shared" si="11"/>
        <v>-4224</v>
      </c>
      <c r="I59" s="88" t="s">
        <v>231</v>
      </c>
      <c r="J59" s="89" t="s">
        <v>232</v>
      </c>
      <c r="K59" s="88">
        <v>-4224</v>
      </c>
      <c r="L59" s="88" t="s">
        <v>233</v>
      </c>
      <c r="M59" s="89" t="s">
        <v>154</v>
      </c>
      <c r="N59" s="89"/>
      <c r="O59" s="90" t="s">
        <v>226</v>
      </c>
      <c r="P59" s="90" t="s">
        <v>227</v>
      </c>
    </row>
    <row r="60" spans="1:16" ht="12.75" customHeight="1" thickBot="1" x14ac:dyDescent="0.25">
      <c r="A60" s="9" t="str">
        <f t="shared" si="6"/>
        <v> AJ 64.260 </v>
      </c>
      <c r="B60" s="16" t="str">
        <f t="shared" si="7"/>
        <v>I</v>
      </c>
      <c r="C60" s="9">
        <f t="shared" si="8"/>
        <v>32301.555</v>
      </c>
      <c r="D60" s="14" t="str">
        <f t="shared" si="9"/>
        <v>vis</v>
      </c>
      <c r="E60" s="87">
        <f>VLOOKUP(C60,Active!C$21:E$972,3,FALSE)</f>
        <v>-1752.9920518943709</v>
      </c>
      <c r="F60" s="16" t="s">
        <v>140</v>
      </c>
      <c r="G60" s="14" t="str">
        <f t="shared" si="10"/>
        <v>32301.555</v>
      </c>
      <c r="H60" s="9">
        <f t="shared" si="11"/>
        <v>-4198</v>
      </c>
      <c r="I60" s="88" t="s">
        <v>234</v>
      </c>
      <c r="J60" s="89" t="s">
        <v>235</v>
      </c>
      <c r="K60" s="88">
        <v>-4198</v>
      </c>
      <c r="L60" s="88" t="s">
        <v>236</v>
      </c>
      <c r="M60" s="89" t="s">
        <v>154</v>
      </c>
      <c r="N60" s="89"/>
      <c r="O60" s="90" t="s">
        <v>226</v>
      </c>
      <c r="P60" s="90" t="s">
        <v>227</v>
      </c>
    </row>
    <row r="61" spans="1:16" ht="12.75" customHeight="1" thickBot="1" x14ac:dyDescent="0.25">
      <c r="A61" s="9" t="str">
        <f t="shared" si="6"/>
        <v> AJ 64.260 </v>
      </c>
      <c r="B61" s="16" t="str">
        <f t="shared" si="7"/>
        <v>I</v>
      </c>
      <c r="C61" s="9">
        <f t="shared" si="8"/>
        <v>32540.670999999998</v>
      </c>
      <c r="D61" s="14" t="str">
        <f t="shared" si="9"/>
        <v>vis</v>
      </c>
      <c r="E61" s="87">
        <f>VLOOKUP(C61,Active!C$21:E$972,3,FALSE)</f>
        <v>-1709.9967975983252</v>
      </c>
      <c r="F61" s="16" t="s">
        <v>140</v>
      </c>
      <c r="G61" s="14" t="str">
        <f t="shared" si="10"/>
        <v>32540.671</v>
      </c>
      <c r="H61" s="9">
        <f t="shared" si="11"/>
        <v>-4155</v>
      </c>
      <c r="I61" s="88" t="s">
        <v>237</v>
      </c>
      <c r="J61" s="89" t="s">
        <v>238</v>
      </c>
      <c r="K61" s="88">
        <v>-4155</v>
      </c>
      <c r="L61" s="88" t="s">
        <v>239</v>
      </c>
      <c r="M61" s="89" t="s">
        <v>154</v>
      </c>
      <c r="N61" s="89"/>
      <c r="O61" s="90" t="s">
        <v>226</v>
      </c>
      <c r="P61" s="90" t="s">
        <v>227</v>
      </c>
    </row>
    <row r="62" spans="1:16" ht="12.75" customHeight="1" thickBot="1" x14ac:dyDescent="0.25">
      <c r="A62" s="9" t="str">
        <f t="shared" si="6"/>
        <v> AJ 64.260 </v>
      </c>
      <c r="B62" s="16" t="str">
        <f t="shared" si="7"/>
        <v>I</v>
      </c>
      <c r="C62" s="9">
        <f t="shared" si="8"/>
        <v>32668.58</v>
      </c>
      <c r="D62" s="14" t="str">
        <f t="shared" si="9"/>
        <v>vis</v>
      </c>
      <c r="E62" s="87">
        <f>VLOOKUP(C62,Active!C$21:E$972,3,FALSE)</f>
        <v>-1686.9975839039128</v>
      </c>
      <c r="F62" s="16" t="s">
        <v>140</v>
      </c>
      <c r="G62" s="14" t="str">
        <f t="shared" si="10"/>
        <v>32668.580</v>
      </c>
      <c r="H62" s="9">
        <f t="shared" si="11"/>
        <v>-4132</v>
      </c>
      <c r="I62" s="88" t="s">
        <v>240</v>
      </c>
      <c r="J62" s="89" t="s">
        <v>241</v>
      </c>
      <c r="K62" s="88">
        <v>-4132</v>
      </c>
      <c r="L62" s="88" t="s">
        <v>242</v>
      </c>
      <c r="M62" s="89" t="s">
        <v>154</v>
      </c>
      <c r="N62" s="89"/>
      <c r="O62" s="90" t="s">
        <v>226</v>
      </c>
      <c r="P62" s="90" t="s">
        <v>227</v>
      </c>
    </row>
    <row r="63" spans="1:16" ht="12.75" customHeight="1" thickBot="1" x14ac:dyDescent="0.25">
      <c r="A63" s="9" t="str">
        <f t="shared" si="6"/>
        <v> AJ 64.260 </v>
      </c>
      <c r="B63" s="16" t="str">
        <f t="shared" si="7"/>
        <v>I</v>
      </c>
      <c r="C63" s="9">
        <f t="shared" si="8"/>
        <v>33007.815000000002</v>
      </c>
      <c r="D63" s="14" t="str">
        <f t="shared" si="9"/>
        <v>vis</v>
      </c>
      <c r="E63" s="87">
        <f>VLOOKUP(C63,Active!C$21:E$972,3,FALSE)</f>
        <v>-1626.00001330588</v>
      </c>
      <c r="F63" s="16" t="s">
        <v>140</v>
      </c>
      <c r="G63" s="14" t="str">
        <f t="shared" si="10"/>
        <v>33007.815</v>
      </c>
      <c r="H63" s="9">
        <f t="shared" si="11"/>
        <v>-4071</v>
      </c>
      <c r="I63" s="88" t="s">
        <v>243</v>
      </c>
      <c r="J63" s="89" t="s">
        <v>244</v>
      </c>
      <c r="K63" s="88">
        <v>-4071</v>
      </c>
      <c r="L63" s="88" t="s">
        <v>245</v>
      </c>
      <c r="M63" s="89" t="s">
        <v>154</v>
      </c>
      <c r="N63" s="89"/>
      <c r="O63" s="90" t="s">
        <v>226</v>
      </c>
      <c r="P63" s="90" t="s">
        <v>227</v>
      </c>
    </row>
    <row r="64" spans="1:16" ht="12.75" customHeight="1" thickBot="1" x14ac:dyDescent="0.25">
      <c r="A64" s="9" t="str">
        <f t="shared" si="6"/>
        <v> AJ 64.260 </v>
      </c>
      <c r="B64" s="16" t="str">
        <f t="shared" si="7"/>
        <v>I</v>
      </c>
      <c r="C64" s="9">
        <f t="shared" si="8"/>
        <v>33246.978999999999</v>
      </c>
      <c r="D64" s="14" t="str">
        <f t="shared" si="9"/>
        <v>vis</v>
      </c>
      <c r="E64" s="87">
        <f>VLOOKUP(C64,Active!C$21:E$972,3,FALSE)</f>
        <v>-1582.9961281687104</v>
      </c>
      <c r="F64" s="16" t="s">
        <v>140</v>
      </c>
      <c r="G64" s="14" t="str">
        <f t="shared" si="10"/>
        <v>33246.979</v>
      </c>
      <c r="H64" s="9">
        <f t="shared" si="11"/>
        <v>-4028</v>
      </c>
      <c r="I64" s="88" t="s">
        <v>246</v>
      </c>
      <c r="J64" s="89" t="s">
        <v>247</v>
      </c>
      <c r="K64" s="88">
        <v>-4028</v>
      </c>
      <c r="L64" s="88" t="s">
        <v>239</v>
      </c>
      <c r="M64" s="89" t="s">
        <v>154</v>
      </c>
      <c r="N64" s="89"/>
      <c r="O64" s="90" t="s">
        <v>226</v>
      </c>
      <c r="P64" s="90" t="s">
        <v>227</v>
      </c>
    </row>
    <row r="65" spans="1:16" ht="12.75" customHeight="1" thickBot="1" x14ac:dyDescent="0.25">
      <c r="A65" s="9" t="str">
        <f t="shared" si="6"/>
        <v> AJ 64.260 </v>
      </c>
      <c r="B65" s="16" t="str">
        <f t="shared" si="7"/>
        <v>I</v>
      </c>
      <c r="C65" s="9">
        <f t="shared" si="8"/>
        <v>35966.514999999999</v>
      </c>
      <c r="D65" s="14" t="str">
        <f t="shared" si="9"/>
        <v>vis</v>
      </c>
      <c r="E65" s="87">
        <f>VLOOKUP(C65,Active!C$21:E$972,3,FALSE)</f>
        <v>-1093.9985626053349</v>
      </c>
      <c r="F65" s="16" t="s">
        <v>140</v>
      </c>
      <c r="G65" s="14" t="str">
        <f t="shared" si="10"/>
        <v>35966.515</v>
      </c>
      <c r="H65" s="9">
        <f t="shared" si="11"/>
        <v>-3539</v>
      </c>
      <c r="I65" s="88" t="s">
        <v>248</v>
      </c>
      <c r="J65" s="89" t="s">
        <v>249</v>
      </c>
      <c r="K65" s="88">
        <v>-3539</v>
      </c>
      <c r="L65" s="88" t="s">
        <v>250</v>
      </c>
      <c r="M65" s="89" t="s">
        <v>154</v>
      </c>
      <c r="N65" s="89"/>
      <c r="O65" s="90" t="s">
        <v>226</v>
      </c>
      <c r="P65" s="90" t="s">
        <v>227</v>
      </c>
    </row>
    <row r="66" spans="1:16" ht="12.75" customHeight="1" thickBot="1" x14ac:dyDescent="0.25">
      <c r="A66" s="9" t="str">
        <f t="shared" si="6"/>
        <v>VSB 47 </v>
      </c>
      <c r="B66" s="16" t="str">
        <f t="shared" si="7"/>
        <v>I</v>
      </c>
      <c r="C66" s="9">
        <f t="shared" si="8"/>
        <v>43213.088000000003</v>
      </c>
      <c r="D66" s="14" t="str">
        <f t="shared" si="9"/>
        <v>vis</v>
      </c>
      <c r="E66" s="87">
        <f>VLOOKUP(C66,Active!C$21:E$972,3,FALSE)</f>
        <v>209.00185940683505</v>
      </c>
      <c r="F66" s="16" t="s">
        <v>140</v>
      </c>
      <c r="G66" s="14" t="str">
        <f t="shared" si="10"/>
        <v>43213.088</v>
      </c>
      <c r="H66" s="9">
        <f t="shared" si="11"/>
        <v>-2236</v>
      </c>
      <c r="I66" s="88" t="s">
        <v>282</v>
      </c>
      <c r="J66" s="89" t="s">
        <v>283</v>
      </c>
      <c r="K66" s="88">
        <v>-2236</v>
      </c>
      <c r="L66" s="88" t="s">
        <v>284</v>
      </c>
      <c r="M66" s="89" t="s">
        <v>209</v>
      </c>
      <c r="N66" s="89"/>
      <c r="O66" s="90" t="s">
        <v>285</v>
      </c>
      <c r="P66" s="91" t="s">
        <v>286</v>
      </c>
    </row>
    <row r="67" spans="1:16" ht="12.75" customHeight="1" thickBot="1" x14ac:dyDescent="0.25">
      <c r="A67" s="9" t="str">
        <f t="shared" si="6"/>
        <v> BBS 125 </v>
      </c>
      <c r="B67" s="16" t="str">
        <f t="shared" si="7"/>
        <v>I</v>
      </c>
      <c r="C67" s="9">
        <f t="shared" si="8"/>
        <v>52022.34</v>
      </c>
      <c r="D67" s="14" t="str">
        <f t="shared" si="9"/>
        <v>vis</v>
      </c>
      <c r="E67" s="87">
        <f>VLOOKUP(C67,Active!C$21:E$972,3,FALSE)</f>
        <v>1792.9863267697576</v>
      </c>
      <c r="F67" s="16" t="s">
        <v>140</v>
      </c>
      <c r="G67" s="14" t="str">
        <f t="shared" si="10"/>
        <v>52022.340</v>
      </c>
      <c r="H67" s="9">
        <f t="shared" si="11"/>
        <v>-652</v>
      </c>
      <c r="I67" s="88" t="s">
        <v>337</v>
      </c>
      <c r="J67" s="89" t="s">
        <v>338</v>
      </c>
      <c r="K67" s="88">
        <v>-652</v>
      </c>
      <c r="L67" s="88" t="s">
        <v>339</v>
      </c>
      <c r="M67" s="89" t="s">
        <v>209</v>
      </c>
      <c r="N67" s="89"/>
      <c r="O67" s="90" t="s">
        <v>254</v>
      </c>
      <c r="P67" s="90" t="s">
        <v>340</v>
      </c>
    </row>
    <row r="68" spans="1:16" ht="12.75" customHeight="1" thickBot="1" x14ac:dyDescent="0.25">
      <c r="A68" s="9" t="str">
        <f t="shared" si="6"/>
        <v>BAVM 157 </v>
      </c>
      <c r="B68" s="16" t="str">
        <f t="shared" si="7"/>
        <v>I</v>
      </c>
      <c r="C68" s="9">
        <f t="shared" si="8"/>
        <v>52689.688000000002</v>
      </c>
      <c r="D68" s="14" t="str">
        <f t="shared" si="9"/>
        <v>vis</v>
      </c>
      <c r="E68" s="87">
        <f>VLOOKUP(C68,Active!C$21:E$972,3,FALSE)</f>
        <v>1912.9816301537137</v>
      </c>
      <c r="F68" s="16" t="s">
        <v>140</v>
      </c>
      <c r="G68" s="14" t="str">
        <f t="shared" si="10"/>
        <v>52689.688</v>
      </c>
      <c r="H68" s="9">
        <f t="shared" si="11"/>
        <v>-532</v>
      </c>
      <c r="I68" s="88" t="s">
        <v>345</v>
      </c>
      <c r="J68" s="89" t="s">
        <v>346</v>
      </c>
      <c r="K68" s="88">
        <v>-532</v>
      </c>
      <c r="L68" s="88" t="s">
        <v>347</v>
      </c>
      <c r="M68" s="89" t="s">
        <v>209</v>
      </c>
      <c r="N68" s="89"/>
      <c r="O68" s="90" t="s">
        <v>348</v>
      </c>
      <c r="P68" s="91" t="s">
        <v>349</v>
      </c>
    </row>
    <row r="69" spans="1:16" ht="12.75" customHeight="1" thickBot="1" x14ac:dyDescent="0.25">
      <c r="A69" s="9" t="str">
        <f t="shared" si="6"/>
        <v>BAVM 192 </v>
      </c>
      <c r="B69" s="16" t="str">
        <f t="shared" si="7"/>
        <v>I</v>
      </c>
      <c r="C69" s="9">
        <f t="shared" si="8"/>
        <v>54085.642</v>
      </c>
      <c r="D69" s="14" t="str">
        <f t="shared" si="9"/>
        <v>vis</v>
      </c>
      <c r="E69" s="87">
        <f>VLOOKUP(C69,Active!C$21:E$972,3,FALSE)</f>
        <v>2163.9869882877688</v>
      </c>
      <c r="F69" s="16" t="s">
        <v>140</v>
      </c>
      <c r="G69" s="14" t="str">
        <f t="shared" si="10"/>
        <v>54085.642</v>
      </c>
      <c r="H69" s="9">
        <f t="shared" si="11"/>
        <v>-281</v>
      </c>
      <c r="I69" s="88" t="s">
        <v>353</v>
      </c>
      <c r="J69" s="89" t="s">
        <v>354</v>
      </c>
      <c r="K69" s="88">
        <v>-281</v>
      </c>
      <c r="L69" s="88" t="s">
        <v>153</v>
      </c>
      <c r="M69" s="89" t="s">
        <v>209</v>
      </c>
      <c r="N69" s="89"/>
      <c r="O69" s="90" t="s">
        <v>348</v>
      </c>
      <c r="P69" s="91" t="s">
        <v>355</v>
      </c>
    </row>
    <row r="70" spans="1:16" x14ac:dyDescent="0.2">
      <c r="B70" s="16"/>
      <c r="F70" s="16"/>
    </row>
    <row r="71" spans="1:16" x14ac:dyDescent="0.2">
      <c r="B71" s="16"/>
      <c r="F71" s="16"/>
    </row>
    <row r="72" spans="1:16" x14ac:dyDescent="0.2">
      <c r="B72" s="16"/>
      <c r="F72" s="16"/>
    </row>
    <row r="73" spans="1:16" x14ac:dyDescent="0.2">
      <c r="B73" s="16"/>
      <c r="F73" s="16"/>
    </row>
    <row r="74" spans="1:16" x14ac:dyDescent="0.2">
      <c r="B74" s="16"/>
      <c r="F74" s="16"/>
    </row>
    <row r="75" spans="1:16" x14ac:dyDescent="0.2">
      <c r="B75" s="16"/>
      <c r="F75" s="16"/>
    </row>
    <row r="76" spans="1:16" x14ac:dyDescent="0.2">
      <c r="B76" s="16"/>
      <c r="F76" s="16"/>
    </row>
    <row r="77" spans="1:16" x14ac:dyDescent="0.2">
      <c r="B77" s="16"/>
      <c r="F77" s="16"/>
    </row>
    <row r="78" spans="1:16" x14ac:dyDescent="0.2">
      <c r="B78" s="16"/>
      <c r="F78" s="16"/>
    </row>
    <row r="79" spans="1:16" x14ac:dyDescent="0.2">
      <c r="B79" s="16"/>
      <c r="F79" s="16"/>
    </row>
    <row r="80" spans="1:16" x14ac:dyDescent="0.2">
      <c r="B80" s="16"/>
      <c r="F80" s="16"/>
    </row>
    <row r="81" spans="2:6" x14ac:dyDescent="0.2">
      <c r="B81" s="16"/>
      <c r="F81" s="16"/>
    </row>
    <row r="82" spans="2:6" x14ac:dyDescent="0.2">
      <c r="B82" s="16"/>
      <c r="F82" s="16"/>
    </row>
    <row r="83" spans="2:6" x14ac:dyDescent="0.2">
      <c r="B83" s="16"/>
      <c r="F83" s="16"/>
    </row>
    <row r="84" spans="2:6" x14ac:dyDescent="0.2">
      <c r="B84" s="16"/>
      <c r="F84" s="16"/>
    </row>
    <row r="85" spans="2:6" x14ac:dyDescent="0.2">
      <c r="B85" s="16"/>
      <c r="F85" s="16"/>
    </row>
    <row r="86" spans="2:6" x14ac:dyDescent="0.2">
      <c r="B86" s="16"/>
      <c r="F86" s="16"/>
    </row>
    <row r="87" spans="2:6" x14ac:dyDescent="0.2">
      <c r="B87" s="16"/>
      <c r="F87" s="16"/>
    </row>
    <row r="88" spans="2:6" x14ac:dyDescent="0.2">
      <c r="B88" s="16"/>
      <c r="F88" s="16"/>
    </row>
    <row r="89" spans="2:6" x14ac:dyDescent="0.2">
      <c r="B89" s="16"/>
      <c r="F89" s="16"/>
    </row>
    <row r="90" spans="2:6" x14ac:dyDescent="0.2">
      <c r="B90" s="16"/>
      <c r="F90" s="16"/>
    </row>
    <row r="91" spans="2:6" x14ac:dyDescent="0.2">
      <c r="B91" s="16"/>
      <c r="F91" s="16"/>
    </row>
    <row r="92" spans="2:6" x14ac:dyDescent="0.2">
      <c r="B92" s="16"/>
      <c r="F92" s="16"/>
    </row>
    <row r="93" spans="2:6" x14ac:dyDescent="0.2">
      <c r="B93" s="16"/>
      <c r="F93" s="16"/>
    </row>
    <row r="94" spans="2:6" x14ac:dyDescent="0.2">
      <c r="B94" s="16"/>
      <c r="F94" s="16"/>
    </row>
    <row r="95" spans="2:6" x14ac:dyDescent="0.2">
      <c r="B95" s="16"/>
      <c r="F95" s="16"/>
    </row>
    <row r="96" spans="2:6" x14ac:dyDescent="0.2">
      <c r="B96" s="16"/>
      <c r="F96" s="16"/>
    </row>
    <row r="97" spans="2:6" x14ac:dyDescent="0.2">
      <c r="B97" s="16"/>
      <c r="F97" s="16"/>
    </row>
    <row r="98" spans="2:6" x14ac:dyDescent="0.2">
      <c r="B98" s="16"/>
      <c r="F98" s="16"/>
    </row>
    <row r="99" spans="2:6" x14ac:dyDescent="0.2">
      <c r="B99" s="16"/>
      <c r="F99" s="16"/>
    </row>
    <row r="100" spans="2:6" x14ac:dyDescent="0.2">
      <c r="B100" s="16"/>
      <c r="F100" s="16"/>
    </row>
    <row r="101" spans="2:6" x14ac:dyDescent="0.2">
      <c r="B101" s="16"/>
      <c r="F101" s="16"/>
    </row>
    <row r="102" spans="2:6" x14ac:dyDescent="0.2">
      <c r="B102" s="16"/>
      <c r="F102" s="16"/>
    </row>
    <row r="103" spans="2:6" x14ac:dyDescent="0.2">
      <c r="B103" s="16"/>
      <c r="F103" s="16"/>
    </row>
    <row r="104" spans="2:6" x14ac:dyDescent="0.2">
      <c r="B104" s="16"/>
      <c r="F104" s="16"/>
    </row>
    <row r="105" spans="2:6" x14ac:dyDescent="0.2">
      <c r="B105" s="16"/>
      <c r="F105" s="16"/>
    </row>
    <row r="106" spans="2:6" x14ac:dyDescent="0.2">
      <c r="B106" s="16"/>
      <c r="F106" s="16"/>
    </row>
    <row r="107" spans="2:6" x14ac:dyDescent="0.2">
      <c r="B107" s="16"/>
      <c r="F107" s="16"/>
    </row>
    <row r="108" spans="2:6" x14ac:dyDescent="0.2">
      <c r="B108" s="16"/>
      <c r="F108" s="16"/>
    </row>
    <row r="109" spans="2:6" x14ac:dyDescent="0.2">
      <c r="B109" s="16"/>
      <c r="F109" s="16"/>
    </row>
    <row r="110" spans="2:6" x14ac:dyDescent="0.2">
      <c r="B110" s="16"/>
      <c r="F110" s="16"/>
    </row>
    <row r="111" spans="2:6" x14ac:dyDescent="0.2">
      <c r="B111" s="16"/>
      <c r="F111" s="16"/>
    </row>
    <row r="112" spans="2:6" x14ac:dyDescent="0.2">
      <c r="B112" s="16"/>
      <c r="F112" s="16"/>
    </row>
    <row r="113" spans="2:6" x14ac:dyDescent="0.2">
      <c r="B113" s="16"/>
      <c r="F113" s="16"/>
    </row>
    <row r="114" spans="2:6" x14ac:dyDescent="0.2">
      <c r="B114" s="16"/>
      <c r="F114" s="16"/>
    </row>
    <row r="115" spans="2:6" x14ac:dyDescent="0.2">
      <c r="B115" s="16"/>
      <c r="F115" s="16"/>
    </row>
    <row r="116" spans="2:6" x14ac:dyDescent="0.2">
      <c r="B116" s="16"/>
      <c r="F116" s="16"/>
    </row>
    <row r="117" spans="2:6" x14ac:dyDescent="0.2">
      <c r="B117" s="16"/>
      <c r="F117" s="16"/>
    </row>
    <row r="118" spans="2:6" x14ac:dyDescent="0.2">
      <c r="B118" s="16"/>
      <c r="F118" s="16"/>
    </row>
    <row r="119" spans="2:6" x14ac:dyDescent="0.2">
      <c r="B119" s="16"/>
      <c r="F119" s="16"/>
    </row>
    <row r="120" spans="2:6" x14ac:dyDescent="0.2">
      <c r="B120" s="16"/>
      <c r="F120" s="16"/>
    </row>
    <row r="121" spans="2:6" x14ac:dyDescent="0.2">
      <c r="B121" s="16"/>
      <c r="F121" s="16"/>
    </row>
    <row r="122" spans="2:6" x14ac:dyDescent="0.2">
      <c r="B122" s="16"/>
      <c r="F122" s="16"/>
    </row>
    <row r="123" spans="2:6" x14ac:dyDescent="0.2">
      <c r="B123" s="16"/>
      <c r="F123" s="16"/>
    </row>
    <row r="124" spans="2:6" x14ac:dyDescent="0.2">
      <c r="B124" s="16"/>
      <c r="F124" s="16"/>
    </row>
    <row r="125" spans="2:6" x14ac:dyDescent="0.2">
      <c r="B125" s="16"/>
      <c r="F125" s="16"/>
    </row>
    <row r="126" spans="2:6" x14ac:dyDescent="0.2">
      <c r="B126" s="16"/>
      <c r="F126" s="16"/>
    </row>
    <row r="127" spans="2:6" x14ac:dyDescent="0.2">
      <c r="B127" s="16"/>
      <c r="F127" s="16"/>
    </row>
    <row r="128" spans="2:6" x14ac:dyDescent="0.2">
      <c r="B128" s="16"/>
      <c r="F128" s="16"/>
    </row>
    <row r="129" spans="2:6" x14ac:dyDescent="0.2">
      <c r="B129" s="16"/>
      <c r="F129" s="16"/>
    </row>
    <row r="130" spans="2:6" x14ac:dyDescent="0.2">
      <c r="B130" s="16"/>
      <c r="F130" s="16"/>
    </row>
    <row r="131" spans="2:6" x14ac:dyDescent="0.2">
      <c r="B131" s="16"/>
      <c r="F131" s="16"/>
    </row>
    <row r="132" spans="2:6" x14ac:dyDescent="0.2">
      <c r="B132" s="16"/>
      <c r="F132" s="16"/>
    </row>
    <row r="133" spans="2:6" x14ac:dyDescent="0.2">
      <c r="B133" s="16"/>
      <c r="F133" s="16"/>
    </row>
    <row r="134" spans="2:6" x14ac:dyDescent="0.2">
      <c r="B134" s="16"/>
      <c r="F134" s="16"/>
    </row>
    <row r="135" spans="2:6" x14ac:dyDescent="0.2">
      <c r="B135" s="16"/>
      <c r="F135" s="16"/>
    </row>
    <row r="136" spans="2:6" x14ac:dyDescent="0.2">
      <c r="B136" s="16"/>
      <c r="F136" s="16"/>
    </row>
    <row r="137" spans="2:6" x14ac:dyDescent="0.2">
      <c r="B137" s="16"/>
      <c r="F137" s="16"/>
    </row>
    <row r="138" spans="2:6" x14ac:dyDescent="0.2">
      <c r="B138" s="16"/>
      <c r="F138" s="16"/>
    </row>
    <row r="139" spans="2:6" x14ac:dyDescent="0.2">
      <c r="B139" s="16"/>
      <c r="F139" s="16"/>
    </row>
    <row r="140" spans="2:6" x14ac:dyDescent="0.2">
      <c r="B140" s="16"/>
      <c r="F140" s="16"/>
    </row>
    <row r="141" spans="2:6" x14ac:dyDescent="0.2">
      <c r="B141" s="16"/>
      <c r="F141" s="16"/>
    </row>
    <row r="142" spans="2:6" x14ac:dyDescent="0.2">
      <c r="B142" s="16"/>
      <c r="F142" s="16"/>
    </row>
    <row r="143" spans="2:6" x14ac:dyDescent="0.2">
      <c r="B143" s="16"/>
      <c r="F143" s="16"/>
    </row>
    <row r="144" spans="2:6" x14ac:dyDescent="0.2">
      <c r="B144" s="16"/>
      <c r="F144" s="16"/>
    </row>
    <row r="145" spans="2:6" x14ac:dyDescent="0.2">
      <c r="B145" s="16"/>
      <c r="F145" s="16"/>
    </row>
    <row r="146" spans="2:6" x14ac:dyDescent="0.2">
      <c r="B146" s="16"/>
      <c r="F146" s="16"/>
    </row>
    <row r="147" spans="2:6" x14ac:dyDescent="0.2">
      <c r="B147" s="16"/>
      <c r="F147" s="16"/>
    </row>
    <row r="148" spans="2:6" x14ac:dyDescent="0.2">
      <c r="B148" s="16"/>
      <c r="F148" s="16"/>
    </row>
    <row r="149" spans="2:6" x14ac:dyDescent="0.2">
      <c r="B149" s="16"/>
      <c r="F149" s="16"/>
    </row>
    <row r="150" spans="2:6" x14ac:dyDescent="0.2">
      <c r="B150" s="16"/>
      <c r="F150" s="16"/>
    </row>
    <row r="151" spans="2:6" x14ac:dyDescent="0.2">
      <c r="B151" s="16"/>
      <c r="F151" s="16"/>
    </row>
    <row r="152" spans="2:6" x14ac:dyDescent="0.2">
      <c r="B152" s="16"/>
      <c r="F152" s="16"/>
    </row>
    <row r="153" spans="2:6" x14ac:dyDescent="0.2">
      <c r="B153" s="16"/>
      <c r="F153" s="16"/>
    </row>
    <row r="154" spans="2:6" x14ac:dyDescent="0.2">
      <c r="B154" s="16"/>
      <c r="F154" s="16"/>
    </row>
    <row r="155" spans="2:6" x14ac:dyDescent="0.2">
      <c r="B155" s="16"/>
      <c r="F155" s="16"/>
    </row>
    <row r="156" spans="2:6" x14ac:dyDescent="0.2">
      <c r="B156" s="16"/>
      <c r="F156" s="16"/>
    </row>
    <row r="157" spans="2:6" x14ac:dyDescent="0.2">
      <c r="B157" s="16"/>
      <c r="F157" s="16"/>
    </row>
    <row r="158" spans="2:6" x14ac:dyDescent="0.2">
      <c r="B158" s="16"/>
      <c r="F158" s="16"/>
    </row>
    <row r="159" spans="2:6" x14ac:dyDescent="0.2">
      <c r="B159" s="16"/>
      <c r="F159" s="16"/>
    </row>
    <row r="160" spans="2:6" x14ac:dyDescent="0.2">
      <c r="B160" s="16"/>
      <c r="F160" s="16"/>
    </row>
    <row r="161" spans="2:6" x14ac:dyDescent="0.2">
      <c r="B161" s="16"/>
      <c r="F161" s="16"/>
    </row>
    <row r="162" spans="2:6" x14ac:dyDescent="0.2">
      <c r="B162" s="16"/>
      <c r="F162" s="16"/>
    </row>
    <row r="163" spans="2:6" x14ac:dyDescent="0.2">
      <c r="B163" s="16"/>
      <c r="F163" s="16"/>
    </row>
    <row r="164" spans="2:6" x14ac:dyDescent="0.2">
      <c r="B164" s="16"/>
      <c r="F164" s="16"/>
    </row>
    <row r="165" spans="2:6" x14ac:dyDescent="0.2">
      <c r="B165" s="16"/>
      <c r="F165" s="16"/>
    </row>
    <row r="166" spans="2:6" x14ac:dyDescent="0.2">
      <c r="B166" s="16"/>
      <c r="F166" s="16"/>
    </row>
    <row r="167" spans="2:6" x14ac:dyDescent="0.2">
      <c r="B167" s="16"/>
      <c r="F167" s="16"/>
    </row>
    <row r="168" spans="2:6" x14ac:dyDescent="0.2">
      <c r="B168" s="16"/>
      <c r="F168" s="16"/>
    </row>
    <row r="169" spans="2:6" x14ac:dyDescent="0.2">
      <c r="B169" s="16"/>
      <c r="F169" s="16"/>
    </row>
    <row r="170" spans="2:6" x14ac:dyDescent="0.2">
      <c r="B170" s="16"/>
      <c r="F170" s="16"/>
    </row>
    <row r="171" spans="2:6" x14ac:dyDescent="0.2">
      <c r="B171" s="16"/>
      <c r="F171" s="16"/>
    </row>
    <row r="172" spans="2:6" x14ac:dyDescent="0.2">
      <c r="B172" s="16"/>
      <c r="F172" s="16"/>
    </row>
    <row r="173" spans="2:6" x14ac:dyDescent="0.2">
      <c r="B173" s="16"/>
      <c r="F173" s="16"/>
    </row>
    <row r="174" spans="2:6" x14ac:dyDescent="0.2">
      <c r="B174" s="16"/>
      <c r="F174" s="16"/>
    </row>
    <row r="175" spans="2:6" x14ac:dyDescent="0.2">
      <c r="B175" s="16"/>
      <c r="F175" s="16"/>
    </row>
    <row r="176" spans="2:6" x14ac:dyDescent="0.2">
      <c r="B176" s="16"/>
      <c r="F176" s="16"/>
    </row>
    <row r="177" spans="2:6" x14ac:dyDescent="0.2">
      <c r="B177" s="16"/>
      <c r="F177" s="16"/>
    </row>
    <row r="178" spans="2:6" x14ac:dyDescent="0.2">
      <c r="B178" s="16"/>
      <c r="F178" s="16"/>
    </row>
    <row r="179" spans="2:6" x14ac:dyDescent="0.2">
      <c r="B179" s="16"/>
      <c r="F179" s="16"/>
    </row>
    <row r="180" spans="2:6" x14ac:dyDescent="0.2">
      <c r="B180" s="16"/>
      <c r="F180" s="16"/>
    </row>
    <row r="181" spans="2:6" x14ac:dyDescent="0.2">
      <c r="B181" s="16"/>
      <c r="F181" s="16"/>
    </row>
    <row r="182" spans="2:6" x14ac:dyDescent="0.2">
      <c r="B182" s="16"/>
      <c r="F182" s="16"/>
    </row>
    <row r="183" spans="2:6" x14ac:dyDescent="0.2">
      <c r="B183" s="16"/>
      <c r="F183" s="16"/>
    </row>
    <row r="184" spans="2:6" x14ac:dyDescent="0.2">
      <c r="B184" s="16"/>
      <c r="F184" s="16"/>
    </row>
    <row r="185" spans="2:6" x14ac:dyDescent="0.2">
      <c r="B185" s="16"/>
      <c r="F185" s="16"/>
    </row>
    <row r="186" spans="2:6" x14ac:dyDescent="0.2">
      <c r="B186" s="16"/>
      <c r="F186" s="16"/>
    </row>
    <row r="187" spans="2:6" x14ac:dyDescent="0.2">
      <c r="B187" s="16"/>
      <c r="F187" s="16"/>
    </row>
    <row r="188" spans="2:6" x14ac:dyDescent="0.2">
      <c r="B188" s="16"/>
      <c r="F188" s="16"/>
    </row>
    <row r="189" spans="2:6" x14ac:dyDescent="0.2">
      <c r="B189" s="16"/>
      <c r="F189" s="16"/>
    </row>
    <row r="190" spans="2:6" x14ac:dyDescent="0.2">
      <c r="B190" s="16"/>
      <c r="F190" s="16"/>
    </row>
    <row r="191" spans="2:6" x14ac:dyDescent="0.2">
      <c r="B191" s="16"/>
      <c r="F191" s="16"/>
    </row>
    <row r="192" spans="2:6" x14ac:dyDescent="0.2">
      <c r="B192" s="16"/>
      <c r="F192" s="16"/>
    </row>
    <row r="193" spans="2:6" x14ac:dyDescent="0.2">
      <c r="B193" s="16"/>
      <c r="F193" s="16"/>
    </row>
    <row r="194" spans="2:6" x14ac:dyDescent="0.2">
      <c r="B194" s="16"/>
      <c r="F194" s="16"/>
    </row>
    <row r="195" spans="2:6" x14ac:dyDescent="0.2">
      <c r="B195" s="16"/>
      <c r="F195" s="16"/>
    </row>
    <row r="196" spans="2:6" x14ac:dyDescent="0.2">
      <c r="B196" s="16"/>
      <c r="F196" s="16"/>
    </row>
    <row r="197" spans="2:6" x14ac:dyDescent="0.2">
      <c r="B197" s="16"/>
      <c r="F197" s="16"/>
    </row>
    <row r="198" spans="2:6" x14ac:dyDescent="0.2">
      <c r="B198" s="16"/>
      <c r="F198" s="16"/>
    </row>
    <row r="199" spans="2:6" x14ac:dyDescent="0.2">
      <c r="B199" s="16"/>
      <c r="F199" s="16"/>
    </row>
    <row r="200" spans="2:6" x14ac:dyDescent="0.2">
      <c r="B200" s="16"/>
      <c r="F200" s="16"/>
    </row>
    <row r="201" spans="2:6" x14ac:dyDescent="0.2">
      <c r="B201" s="16"/>
      <c r="F201" s="16"/>
    </row>
    <row r="202" spans="2:6" x14ac:dyDescent="0.2">
      <c r="B202" s="16"/>
      <c r="F202" s="16"/>
    </row>
    <row r="203" spans="2:6" x14ac:dyDescent="0.2">
      <c r="B203" s="16"/>
      <c r="F203" s="16"/>
    </row>
    <row r="204" spans="2:6" x14ac:dyDescent="0.2">
      <c r="B204" s="16"/>
      <c r="F204" s="16"/>
    </row>
    <row r="205" spans="2:6" x14ac:dyDescent="0.2">
      <c r="B205" s="16"/>
      <c r="F205" s="16"/>
    </row>
    <row r="206" spans="2:6" x14ac:dyDescent="0.2">
      <c r="B206" s="16"/>
      <c r="F206" s="16"/>
    </row>
    <row r="207" spans="2:6" x14ac:dyDescent="0.2">
      <c r="B207" s="16"/>
      <c r="F207" s="16"/>
    </row>
    <row r="208" spans="2:6" x14ac:dyDescent="0.2">
      <c r="B208" s="16"/>
      <c r="F208" s="16"/>
    </row>
    <row r="209" spans="2:6" x14ac:dyDescent="0.2">
      <c r="B209" s="16"/>
      <c r="F209" s="16"/>
    </row>
    <row r="210" spans="2:6" x14ac:dyDescent="0.2">
      <c r="B210" s="16"/>
      <c r="F210" s="16"/>
    </row>
    <row r="211" spans="2:6" x14ac:dyDescent="0.2">
      <c r="B211" s="16"/>
      <c r="F211" s="16"/>
    </row>
    <row r="212" spans="2:6" x14ac:dyDescent="0.2">
      <c r="B212" s="16"/>
      <c r="F212" s="16"/>
    </row>
    <row r="213" spans="2:6" x14ac:dyDescent="0.2">
      <c r="B213" s="16"/>
      <c r="F213" s="16"/>
    </row>
    <row r="214" spans="2:6" x14ac:dyDescent="0.2">
      <c r="B214" s="16"/>
      <c r="F214" s="16"/>
    </row>
    <row r="215" spans="2:6" x14ac:dyDescent="0.2">
      <c r="B215" s="16"/>
      <c r="F215" s="16"/>
    </row>
    <row r="216" spans="2:6" x14ac:dyDescent="0.2">
      <c r="B216" s="16"/>
      <c r="F216" s="16"/>
    </row>
    <row r="217" spans="2:6" x14ac:dyDescent="0.2">
      <c r="B217" s="16"/>
      <c r="F217" s="16"/>
    </row>
    <row r="218" spans="2:6" x14ac:dyDescent="0.2">
      <c r="B218" s="16"/>
      <c r="F218" s="16"/>
    </row>
    <row r="219" spans="2:6" x14ac:dyDescent="0.2">
      <c r="B219" s="16"/>
      <c r="F219" s="16"/>
    </row>
    <row r="220" spans="2:6" x14ac:dyDescent="0.2">
      <c r="B220" s="16"/>
      <c r="F220" s="16"/>
    </row>
    <row r="221" spans="2:6" x14ac:dyDescent="0.2">
      <c r="B221" s="16"/>
      <c r="F221" s="16"/>
    </row>
    <row r="222" spans="2:6" x14ac:dyDescent="0.2">
      <c r="B222" s="16"/>
      <c r="F222" s="16"/>
    </row>
    <row r="223" spans="2:6" x14ac:dyDescent="0.2">
      <c r="B223" s="16"/>
      <c r="F223" s="16"/>
    </row>
    <row r="224" spans="2:6" x14ac:dyDescent="0.2">
      <c r="B224" s="16"/>
      <c r="F224" s="16"/>
    </row>
    <row r="225" spans="2:6" x14ac:dyDescent="0.2">
      <c r="B225" s="16"/>
      <c r="F225" s="16"/>
    </row>
    <row r="226" spans="2:6" x14ac:dyDescent="0.2">
      <c r="B226" s="16"/>
      <c r="F226" s="16"/>
    </row>
    <row r="227" spans="2:6" x14ac:dyDescent="0.2">
      <c r="B227" s="16"/>
      <c r="F227" s="16"/>
    </row>
    <row r="228" spans="2:6" x14ac:dyDescent="0.2">
      <c r="B228" s="16"/>
      <c r="F228" s="16"/>
    </row>
    <row r="229" spans="2:6" x14ac:dyDescent="0.2">
      <c r="B229" s="16"/>
      <c r="F229" s="16"/>
    </row>
    <row r="230" spans="2:6" x14ac:dyDescent="0.2">
      <c r="B230" s="16"/>
      <c r="F230" s="16"/>
    </row>
    <row r="231" spans="2:6" x14ac:dyDescent="0.2">
      <c r="B231" s="16"/>
      <c r="F231" s="16"/>
    </row>
    <row r="232" spans="2:6" x14ac:dyDescent="0.2">
      <c r="B232" s="16"/>
      <c r="F232" s="16"/>
    </row>
    <row r="233" spans="2:6" x14ac:dyDescent="0.2">
      <c r="B233" s="16"/>
      <c r="F233" s="16"/>
    </row>
    <row r="234" spans="2:6" x14ac:dyDescent="0.2">
      <c r="B234" s="16"/>
      <c r="F234" s="16"/>
    </row>
    <row r="235" spans="2:6" x14ac:dyDescent="0.2">
      <c r="B235" s="16"/>
      <c r="F235" s="16"/>
    </row>
    <row r="236" spans="2:6" x14ac:dyDescent="0.2">
      <c r="B236" s="16"/>
      <c r="F236" s="16"/>
    </row>
    <row r="237" spans="2:6" x14ac:dyDescent="0.2">
      <c r="B237" s="16"/>
      <c r="F237" s="16"/>
    </row>
    <row r="238" spans="2:6" x14ac:dyDescent="0.2">
      <c r="B238" s="16"/>
      <c r="F238" s="16"/>
    </row>
    <row r="239" spans="2:6" x14ac:dyDescent="0.2">
      <c r="B239" s="16"/>
      <c r="F239" s="16"/>
    </row>
    <row r="240" spans="2:6" x14ac:dyDescent="0.2">
      <c r="B240" s="16"/>
      <c r="F240" s="16"/>
    </row>
    <row r="241" spans="2:6" x14ac:dyDescent="0.2">
      <c r="B241" s="16"/>
      <c r="F241" s="16"/>
    </row>
    <row r="242" spans="2:6" x14ac:dyDescent="0.2">
      <c r="B242" s="16"/>
      <c r="F242" s="16"/>
    </row>
    <row r="243" spans="2:6" x14ac:dyDescent="0.2">
      <c r="B243" s="16"/>
      <c r="F243" s="16"/>
    </row>
    <row r="244" spans="2:6" x14ac:dyDescent="0.2">
      <c r="B244" s="16"/>
      <c r="F244" s="16"/>
    </row>
    <row r="245" spans="2:6" x14ac:dyDescent="0.2">
      <c r="B245" s="16"/>
      <c r="F245" s="16"/>
    </row>
    <row r="246" spans="2:6" x14ac:dyDescent="0.2">
      <c r="B246" s="16"/>
      <c r="F246" s="16"/>
    </row>
    <row r="247" spans="2:6" x14ac:dyDescent="0.2">
      <c r="B247" s="16"/>
      <c r="F247" s="16"/>
    </row>
    <row r="248" spans="2:6" x14ac:dyDescent="0.2">
      <c r="B248" s="16"/>
      <c r="F248" s="16"/>
    </row>
    <row r="249" spans="2:6" x14ac:dyDescent="0.2">
      <c r="B249" s="16"/>
      <c r="F249" s="16"/>
    </row>
    <row r="250" spans="2:6" x14ac:dyDescent="0.2">
      <c r="B250" s="16"/>
      <c r="F250" s="16"/>
    </row>
    <row r="251" spans="2:6" x14ac:dyDescent="0.2">
      <c r="B251" s="16"/>
      <c r="F251" s="16"/>
    </row>
    <row r="252" spans="2:6" x14ac:dyDescent="0.2">
      <c r="B252" s="16"/>
      <c r="F252" s="16"/>
    </row>
    <row r="253" spans="2:6" x14ac:dyDescent="0.2">
      <c r="B253" s="16"/>
      <c r="F253" s="16"/>
    </row>
    <row r="254" spans="2:6" x14ac:dyDescent="0.2">
      <c r="B254" s="16"/>
      <c r="F254" s="16"/>
    </row>
    <row r="255" spans="2:6" x14ac:dyDescent="0.2">
      <c r="B255" s="16"/>
      <c r="F255" s="16"/>
    </row>
    <row r="256" spans="2:6" x14ac:dyDescent="0.2">
      <c r="B256" s="16"/>
      <c r="F256" s="16"/>
    </row>
    <row r="257" spans="2:6" x14ac:dyDescent="0.2">
      <c r="B257" s="16"/>
      <c r="F257" s="16"/>
    </row>
    <row r="258" spans="2:6" x14ac:dyDescent="0.2">
      <c r="B258" s="16"/>
      <c r="F258" s="16"/>
    </row>
    <row r="259" spans="2:6" x14ac:dyDescent="0.2">
      <c r="B259" s="16"/>
      <c r="F259" s="16"/>
    </row>
    <row r="260" spans="2:6" x14ac:dyDescent="0.2">
      <c r="B260" s="16"/>
      <c r="F260" s="16"/>
    </row>
    <row r="261" spans="2:6" x14ac:dyDescent="0.2">
      <c r="B261" s="16"/>
      <c r="F261" s="16"/>
    </row>
    <row r="262" spans="2:6" x14ac:dyDescent="0.2">
      <c r="B262" s="16"/>
      <c r="F262" s="16"/>
    </row>
    <row r="263" spans="2:6" x14ac:dyDescent="0.2">
      <c r="B263" s="16"/>
      <c r="F263" s="16"/>
    </row>
    <row r="264" spans="2:6" x14ac:dyDescent="0.2">
      <c r="B264" s="16"/>
      <c r="F264" s="16"/>
    </row>
    <row r="265" spans="2:6" x14ac:dyDescent="0.2">
      <c r="B265" s="16"/>
      <c r="F265" s="16"/>
    </row>
    <row r="266" spans="2:6" x14ac:dyDescent="0.2">
      <c r="B266" s="16"/>
      <c r="F266" s="16"/>
    </row>
    <row r="267" spans="2:6" x14ac:dyDescent="0.2">
      <c r="B267" s="16"/>
      <c r="F267" s="16"/>
    </row>
    <row r="268" spans="2:6" x14ac:dyDescent="0.2">
      <c r="B268" s="16"/>
      <c r="F268" s="16"/>
    </row>
    <row r="269" spans="2:6" x14ac:dyDescent="0.2">
      <c r="B269" s="16"/>
      <c r="F269" s="16"/>
    </row>
    <row r="270" spans="2:6" x14ac:dyDescent="0.2">
      <c r="B270" s="16"/>
      <c r="F270" s="16"/>
    </row>
    <row r="271" spans="2:6" x14ac:dyDescent="0.2">
      <c r="B271" s="16"/>
      <c r="F271" s="16"/>
    </row>
    <row r="272" spans="2:6" x14ac:dyDescent="0.2">
      <c r="B272" s="16"/>
      <c r="F272" s="16"/>
    </row>
    <row r="273" spans="2:6" x14ac:dyDescent="0.2">
      <c r="B273" s="16"/>
      <c r="F273" s="16"/>
    </row>
    <row r="274" spans="2:6" x14ac:dyDescent="0.2">
      <c r="B274" s="16"/>
      <c r="F274" s="16"/>
    </row>
    <row r="275" spans="2:6" x14ac:dyDescent="0.2">
      <c r="B275" s="16"/>
      <c r="F275" s="16"/>
    </row>
    <row r="276" spans="2:6" x14ac:dyDescent="0.2">
      <c r="B276" s="16"/>
      <c r="F276" s="16"/>
    </row>
    <row r="277" spans="2:6" x14ac:dyDescent="0.2">
      <c r="B277" s="16"/>
      <c r="F277" s="16"/>
    </row>
    <row r="278" spans="2:6" x14ac:dyDescent="0.2">
      <c r="B278" s="16"/>
      <c r="F278" s="16"/>
    </row>
    <row r="279" spans="2:6" x14ac:dyDescent="0.2">
      <c r="B279" s="16"/>
      <c r="F279" s="16"/>
    </row>
    <row r="280" spans="2:6" x14ac:dyDescent="0.2">
      <c r="B280" s="16"/>
      <c r="F280" s="16"/>
    </row>
    <row r="281" spans="2:6" x14ac:dyDescent="0.2">
      <c r="B281" s="16"/>
      <c r="F281" s="16"/>
    </row>
    <row r="282" spans="2:6" x14ac:dyDescent="0.2">
      <c r="B282" s="16"/>
      <c r="F282" s="16"/>
    </row>
    <row r="283" spans="2:6" x14ac:dyDescent="0.2">
      <c r="B283" s="16"/>
      <c r="F283" s="16"/>
    </row>
    <row r="284" spans="2:6" x14ac:dyDescent="0.2">
      <c r="B284" s="16"/>
      <c r="F284" s="16"/>
    </row>
    <row r="285" spans="2:6" x14ac:dyDescent="0.2">
      <c r="B285" s="16"/>
      <c r="F285" s="16"/>
    </row>
    <row r="286" spans="2:6" x14ac:dyDescent="0.2">
      <c r="B286" s="16"/>
      <c r="F286" s="16"/>
    </row>
    <row r="287" spans="2:6" x14ac:dyDescent="0.2">
      <c r="B287" s="16"/>
      <c r="F287" s="16"/>
    </row>
    <row r="288" spans="2:6" x14ac:dyDescent="0.2">
      <c r="B288" s="16"/>
      <c r="F288" s="16"/>
    </row>
    <row r="289" spans="2:6" x14ac:dyDescent="0.2">
      <c r="B289" s="16"/>
      <c r="F289" s="16"/>
    </row>
    <row r="290" spans="2:6" x14ac:dyDescent="0.2">
      <c r="B290" s="16"/>
      <c r="F290" s="16"/>
    </row>
    <row r="291" spans="2:6" x14ac:dyDescent="0.2">
      <c r="B291" s="16"/>
      <c r="F291" s="16"/>
    </row>
    <row r="292" spans="2:6" x14ac:dyDescent="0.2">
      <c r="B292" s="16"/>
      <c r="F292" s="16"/>
    </row>
    <row r="293" spans="2:6" x14ac:dyDescent="0.2">
      <c r="B293" s="16"/>
      <c r="F293" s="16"/>
    </row>
    <row r="294" spans="2:6" x14ac:dyDescent="0.2">
      <c r="B294" s="16"/>
      <c r="F294" s="16"/>
    </row>
    <row r="295" spans="2:6" x14ac:dyDescent="0.2">
      <c r="B295" s="16"/>
      <c r="F295" s="16"/>
    </row>
    <row r="296" spans="2:6" x14ac:dyDescent="0.2">
      <c r="B296" s="16"/>
      <c r="F296" s="16"/>
    </row>
    <row r="297" spans="2:6" x14ac:dyDescent="0.2">
      <c r="B297" s="16"/>
      <c r="F297" s="16"/>
    </row>
    <row r="298" spans="2:6" x14ac:dyDescent="0.2">
      <c r="B298" s="16"/>
      <c r="F298" s="16"/>
    </row>
    <row r="299" spans="2:6" x14ac:dyDescent="0.2">
      <c r="B299" s="16"/>
      <c r="F299" s="16"/>
    </row>
    <row r="300" spans="2:6" x14ac:dyDescent="0.2">
      <c r="B300" s="16"/>
      <c r="F300" s="16"/>
    </row>
    <row r="301" spans="2:6" x14ac:dyDescent="0.2">
      <c r="B301" s="16"/>
      <c r="F301" s="16"/>
    </row>
    <row r="302" spans="2:6" x14ac:dyDescent="0.2">
      <c r="B302" s="16"/>
      <c r="F302" s="16"/>
    </row>
    <row r="303" spans="2:6" x14ac:dyDescent="0.2">
      <c r="B303" s="16"/>
      <c r="F303" s="16"/>
    </row>
    <row r="304" spans="2:6" x14ac:dyDescent="0.2">
      <c r="B304" s="16"/>
      <c r="F304" s="16"/>
    </row>
    <row r="305" spans="2:6" x14ac:dyDescent="0.2">
      <c r="B305" s="16"/>
      <c r="F305" s="16"/>
    </row>
    <row r="306" spans="2:6" x14ac:dyDescent="0.2">
      <c r="B306" s="16"/>
      <c r="F306" s="16"/>
    </row>
    <row r="307" spans="2:6" x14ac:dyDescent="0.2">
      <c r="B307" s="16"/>
      <c r="F307" s="16"/>
    </row>
    <row r="308" spans="2:6" x14ac:dyDescent="0.2">
      <c r="B308" s="16"/>
      <c r="F308" s="16"/>
    </row>
    <row r="309" spans="2:6" x14ac:dyDescent="0.2">
      <c r="B309" s="16"/>
      <c r="F309" s="16"/>
    </row>
    <row r="310" spans="2:6" x14ac:dyDescent="0.2">
      <c r="B310" s="16"/>
      <c r="F310" s="16"/>
    </row>
    <row r="311" spans="2:6" x14ac:dyDescent="0.2">
      <c r="B311" s="16"/>
      <c r="F311" s="16"/>
    </row>
    <row r="312" spans="2:6" x14ac:dyDescent="0.2">
      <c r="B312" s="16"/>
      <c r="F312" s="16"/>
    </row>
    <row r="313" spans="2:6" x14ac:dyDescent="0.2">
      <c r="B313" s="16"/>
      <c r="F313" s="16"/>
    </row>
    <row r="314" spans="2:6" x14ac:dyDescent="0.2">
      <c r="B314" s="16"/>
      <c r="F314" s="16"/>
    </row>
    <row r="315" spans="2:6" x14ac:dyDescent="0.2">
      <c r="B315" s="16"/>
      <c r="F315" s="16"/>
    </row>
    <row r="316" spans="2:6" x14ac:dyDescent="0.2">
      <c r="B316" s="16"/>
      <c r="F316" s="16"/>
    </row>
    <row r="317" spans="2:6" x14ac:dyDescent="0.2">
      <c r="B317" s="16"/>
      <c r="F317" s="16"/>
    </row>
    <row r="318" spans="2:6" x14ac:dyDescent="0.2">
      <c r="B318" s="16"/>
      <c r="F318" s="16"/>
    </row>
    <row r="319" spans="2:6" x14ac:dyDescent="0.2">
      <c r="B319" s="16"/>
      <c r="F319" s="16"/>
    </row>
    <row r="320" spans="2:6" x14ac:dyDescent="0.2">
      <c r="B320" s="16"/>
      <c r="F320" s="16"/>
    </row>
    <row r="321" spans="2:6" x14ac:dyDescent="0.2">
      <c r="B321" s="16"/>
      <c r="F321" s="16"/>
    </row>
    <row r="322" spans="2:6" x14ac:dyDescent="0.2">
      <c r="B322" s="16"/>
      <c r="F322" s="16"/>
    </row>
    <row r="323" spans="2:6" x14ac:dyDescent="0.2">
      <c r="B323" s="16"/>
      <c r="F323" s="16"/>
    </row>
    <row r="324" spans="2:6" x14ac:dyDescent="0.2">
      <c r="B324" s="16"/>
      <c r="F324" s="16"/>
    </row>
    <row r="325" spans="2:6" x14ac:dyDescent="0.2">
      <c r="B325" s="16"/>
      <c r="F325" s="16"/>
    </row>
    <row r="326" spans="2:6" x14ac:dyDescent="0.2">
      <c r="B326" s="16"/>
      <c r="F326" s="16"/>
    </row>
    <row r="327" spans="2:6" x14ac:dyDescent="0.2">
      <c r="B327" s="16"/>
      <c r="F327" s="16"/>
    </row>
    <row r="328" spans="2:6" x14ac:dyDescent="0.2">
      <c r="B328" s="16"/>
      <c r="F328" s="16"/>
    </row>
    <row r="329" spans="2:6" x14ac:dyDescent="0.2">
      <c r="B329" s="16"/>
      <c r="F329" s="16"/>
    </row>
    <row r="330" spans="2:6" x14ac:dyDescent="0.2">
      <c r="B330" s="16"/>
      <c r="F330" s="16"/>
    </row>
    <row r="331" spans="2:6" x14ac:dyDescent="0.2">
      <c r="B331" s="16"/>
      <c r="F331" s="16"/>
    </row>
    <row r="332" spans="2:6" x14ac:dyDescent="0.2">
      <c r="B332" s="16"/>
      <c r="F332" s="16"/>
    </row>
    <row r="333" spans="2:6" x14ac:dyDescent="0.2">
      <c r="B333" s="16"/>
      <c r="F333" s="16"/>
    </row>
    <row r="334" spans="2:6" x14ac:dyDescent="0.2">
      <c r="B334" s="16"/>
      <c r="F334" s="16"/>
    </row>
    <row r="335" spans="2:6" x14ac:dyDescent="0.2">
      <c r="B335" s="16"/>
      <c r="F335" s="16"/>
    </row>
    <row r="336" spans="2:6" x14ac:dyDescent="0.2">
      <c r="B336" s="16"/>
      <c r="F336" s="16"/>
    </row>
    <row r="337" spans="2:6" x14ac:dyDescent="0.2">
      <c r="B337" s="16"/>
      <c r="F337" s="16"/>
    </row>
    <row r="338" spans="2:6" x14ac:dyDescent="0.2">
      <c r="B338" s="16"/>
      <c r="F338" s="16"/>
    </row>
    <row r="339" spans="2:6" x14ac:dyDescent="0.2">
      <c r="B339" s="16"/>
      <c r="F339" s="16"/>
    </row>
    <row r="340" spans="2:6" x14ac:dyDescent="0.2">
      <c r="B340" s="16"/>
      <c r="F340" s="16"/>
    </row>
    <row r="341" spans="2:6" x14ac:dyDescent="0.2">
      <c r="B341" s="16"/>
      <c r="F341" s="16"/>
    </row>
    <row r="342" spans="2:6" x14ac:dyDescent="0.2">
      <c r="B342" s="16"/>
      <c r="F342" s="16"/>
    </row>
    <row r="343" spans="2:6" x14ac:dyDescent="0.2">
      <c r="B343" s="16"/>
      <c r="F343" s="16"/>
    </row>
    <row r="344" spans="2:6" x14ac:dyDescent="0.2">
      <c r="B344" s="16"/>
      <c r="F344" s="16"/>
    </row>
    <row r="345" spans="2:6" x14ac:dyDescent="0.2">
      <c r="B345" s="16"/>
      <c r="F345" s="16"/>
    </row>
    <row r="346" spans="2:6" x14ac:dyDescent="0.2">
      <c r="B346" s="16"/>
      <c r="F346" s="16"/>
    </row>
    <row r="347" spans="2:6" x14ac:dyDescent="0.2">
      <c r="B347" s="16"/>
      <c r="F347" s="16"/>
    </row>
    <row r="348" spans="2:6" x14ac:dyDescent="0.2">
      <c r="B348" s="16"/>
      <c r="F348" s="16"/>
    </row>
    <row r="349" spans="2:6" x14ac:dyDescent="0.2">
      <c r="B349" s="16"/>
      <c r="F349" s="16"/>
    </row>
    <row r="350" spans="2:6" x14ac:dyDescent="0.2">
      <c r="B350" s="16"/>
      <c r="F350" s="16"/>
    </row>
    <row r="351" spans="2:6" x14ac:dyDescent="0.2">
      <c r="B351" s="16"/>
      <c r="F351" s="16"/>
    </row>
    <row r="352" spans="2:6" x14ac:dyDescent="0.2">
      <c r="B352" s="16"/>
      <c r="F352" s="16"/>
    </row>
    <row r="353" spans="2:6" x14ac:dyDescent="0.2">
      <c r="B353" s="16"/>
      <c r="F353" s="16"/>
    </row>
    <row r="354" spans="2:6" x14ac:dyDescent="0.2">
      <c r="B354" s="16"/>
      <c r="F354" s="16"/>
    </row>
    <row r="355" spans="2:6" x14ac:dyDescent="0.2">
      <c r="B355" s="16"/>
      <c r="F355" s="16"/>
    </row>
    <row r="356" spans="2:6" x14ac:dyDescent="0.2">
      <c r="B356" s="16"/>
      <c r="F356" s="16"/>
    </row>
    <row r="357" spans="2:6" x14ac:dyDescent="0.2">
      <c r="B357" s="16"/>
      <c r="F357" s="16"/>
    </row>
    <row r="358" spans="2:6" x14ac:dyDescent="0.2">
      <c r="B358" s="16"/>
      <c r="F358" s="16"/>
    </row>
    <row r="359" spans="2:6" x14ac:dyDescent="0.2">
      <c r="B359" s="16"/>
      <c r="F359" s="16"/>
    </row>
    <row r="360" spans="2:6" x14ac:dyDescent="0.2">
      <c r="B360" s="16"/>
      <c r="F360" s="16"/>
    </row>
    <row r="361" spans="2:6" x14ac:dyDescent="0.2">
      <c r="B361" s="16"/>
      <c r="F361" s="16"/>
    </row>
    <row r="362" spans="2:6" x14ac:dyDescent="0.2">
      <c r="B362" s="16"/>
      <c r="F362" s="16"/>
    </row>
    <row r="363" spans="2:6" x14ac:dyDescent="0.2">
      <c r="B363" s="16"/>
      <c r="F363" s="16"/>
    </row>
    <row r="364" spans="2:6" x14ac:dyDescent="0.2">
      <c r="B364" s="16"/>
      <c r="F364" s="16"/>
    </row>
    <row r="365" spans="2:6" x14ac:dyDescent="0.2">
      <c r="B365" s="16"/>
      <c r="F365" s="16"/>
    </row>
    <row r="366" spans="2:6" x14ac:dyDescent="0.2">
      <c r="B366" s="16"/>
      <c r="F366" s="16"/>
    </row>
    <row r="367" spans="2:6" x14ac:dyDescent="0.2">
      <c r="B367" s="16"/>
      <c r="F367" s="16"/>
    </row>
    <row r="368" spans="2:6" x14ac:dyDescent="0.2">
      <c r="B368" s="16"/>
      <c r="F368" s="16"/>
    </row>
    <row r="369" spans="2:6" x14ac:dyDescent="0.2">
      <c r="B369" s="16"/>
      <c r="F369" s="16"/>
    </row>
    <row r="370" spans="2:6" x14ac:dyDescent="0.2">
      <c r="B370" s="16"/>
      <c r="F370" s="16"/>
    </row>
    <row r="371" spans="2:6" x14ac:dyDescent="0.2">
      <c r="B371" s="16"/>
      <c r="F371" s="16"/>
    </row>
    <row r="372" spans="2:6" x14ac:dyDescent="0.2">
      <c r="B372" s="16"/>
      <c r="F372" s="16"/>
    </row>
    <row r="373" spans="2:6" x14ac:dyDescent="0.2">
      <c r="B373" s="16"/>
      <c r="F373" s="16"/>
    </row>
    <row r="374" spans="2:6" x14ac:dyDescent="0.2">
      <c r="B374" s="16"/>
      <c r="F374" s="16"/>
    </row>
    <row r="375" spans="2:6" x14ac:dyDescent="0.2">
      <c r="B375" s="16"/>
      <c r="F375" s="16"/>
    </row>
    <row r="376" spans="2:6" x14ac:dyDescent="0.2">
      <c r="B376" s="16"/>
      <c r="F376" s="16"/>
    </row>
    <row r="377" spans="2:6" x14ac:dyDescent="0.2">
      <c r="B377" s="16"/>
      <c r="F377" s="16"/>
    </row>
    <row r="378" spans="2:6" x14ac:dyDescent="0.2">
      <c r="B378" s="16"/>
      <c r="F378" s="16"/>
    </row>
    <row r="379" spans="2:6" x14ac:dyDescent="0.2">
      <c r="B379" s="16"/>
      <c r="F379" s="16"/>
    </row>
    <row r="380" spans="2:6" x14ac:dyDescent="0.2">
      <c r="B380" s="16"/>
      <c r="F380" s="16"/>
    </row>
    <row r="381" spans="2:6" x14ac:dyDescent="0.2">
      <c r="B381" s="16"/>
      <c r="F381" s="16"/>
    </row>
    <row r="382" spans="2:6" x14ac:dyDescent="0.2">
      <c r="B382" s="16"/>
      <c r="F382" s="16"/>
    </row>
    <row r="383" spans="2:6" x14ac:dyDescent="0.2">
      <c r="B383" s="16"/>
      <c r="F383" s="16"/>
    </row>
    <row r="384" spans="2:6" x14ac:dyDescent="0.2">
      <c r="B384" s="16"/>
      <c r="F384" s="16"/>
    </row>
    <row r="385" spans="2:6" x14ac:dyDescent="0.2">
      <c r="B385" s="16"/>
      <c r="F385" s="16"/>
    </row>
    <row r="386" spans="2:6" x14ac:dyDescent="0.2">
      <c r="B386" s="16"/>
      <c r="F386" s="16"/>
    </row>
    <row r="387" spans="2:6" x14ac:dyDescent="0.2">
      <c r="B387" s="16"/>
      <c r="F387" s="16"/>
    </row>
    <row r="388" spans="2:6" x14ac:dyDescent="0.2">
      <c r="B388" s="16"/>
      <c r="F388" s="16"/>
    </row>
    <row r="389" spans="2:6" x14ac:dyDescent="0.2">
      <c r="B389" s="16"/>
      <c r="F389" s="16"/>
    </row>
    <row r="390" spans="2:6" x14ac:dyDescent="0.2">
      <c r="B390" s="16"/>
      <c r="F390" s="16"/>
    </row>
    <row r="391" spans="2:6" x14ac:dyDescent="0.2">
      <c r="B391" s="16"/>
      <c r="F391" s="16"/>
    </row>
    <row r="392" spans="2:6" x14ac:dyDescent="0.2">
      <c r="B392" s="16"/>
      <c r="F392" s="16"/>
    </row>
    <row r="393" spans="2:6" x14ac:dyDescent="0.2">
      <c r="B393" s="16"/>
      <c r="F393" s="16"/>
    </row>
    <row r="394" spans="2:6" x14ac:dyDescent="0.2">
      <c r="B394" s="16"/>
      <c r="F394" s="16"/>
    </row>
    <row r="395" spans="2:6" x14ac:dyDescent="0.2">
      <c r="B395" s="16"/>
      <c r="F395" s="16"/>
    </row>
    <row r="396" spans="2:6" x14ac:dyDescent="0.2">
      <c r="B396" s="16"/>
      <c r="F396" s="16"/>
    </row>
    <row r="397" spans="2:6" x14ac:dyDescent="0.2">
      <c r="B397" s="16"/>
      <c r="F397" s="16"/>
    </row>
    <row r="398" spans="2:6" x14ac:dyDescent="0.2">
      <c r="B398" s="16"/>
      <c r="F398" s="16"/>
    </row>
    <row r="399" spans="2:6" x14ac:dyDescent="0.2">
      <c r="B399" s="16"/>
      <c r="F399" s="16"/>
    </row>
    <row r="400" spans="2:6" x14ac:dyDescent="0.2">
      <c r="B400" s="16"/>
      <c r="F400" s="16"/>
    </row>
    <row r="401" spans="2:6" x14ac:dyDescent="0.2">
      <c r="B401" s="16"/>
      <c r="F401" s="16"/>
    </row>
    <row r="402" spans="2:6" x14ac:dyDescent="0.2">
      <c r="B402" s="16"/>
      <c r="F402" s="16"/>
    </row>
    <row r="403" spans="2:6" x14ac:dyDescent="0.2">
      <c r="B403" s="16"/>
      <c r="F403" s="16"/>
    </row>
    <row r="404" spans="2:6" x14ac:dyDescent="0.2">
      <c r="B404" s="16"/>
      <c r="F404" s="16"/>
    </row>
    <row r="405" spans="2:6" x14ac:dyDescent="0.2">
      <c r="B405" s="16"/>
      <c r="F405" s="16"/>
    </row>
    <row r="406" spans="2:6" x14ac:dyDescent="0.2">
      <c r="B406" s="16"/>
      <c r="F406" s="16"/>
    </row>
    <row r="407" spans="2:6" x14ac:dyDescent="0.2">
      <c r="B407" s="16"/>
      <c r="F407" s="16"/>
    </row>
    <row r="408" spans="2:6" x14ac:dyDescent="0.2">
      <c r="B408" s="16"/>
      <c r="F408" s="16"/>
    </row>
    <row r="409" spans="2:6" x14ac:dyDescent="0.2">
      <c r="B409" s="16"/>
      <c r="F409" s="16"/>
    </row>
    <row r="410" spans="2:6" x14ac:dyDescent="0.2">
      <c r="B410" s="16"/>
      <c r="F410" s="16"/>
    </row>
    <row r="411" spans="2:6" x14ac:dyDescent="0.2">
      <c r="B411" s="16"/>
      <c r="F411" s="16"/>
    </row>
    <row r="412" spans="2:6" x14ac:dyDescent="0.2">
      <c r="B412" s="16"/>
      <c r="F412" s="16"/>
    </row>
    <row r="413" spans="2:6" x14ac:dyDescent="0.2">
      <c r="B413" s="16"/>
      <c r="F413" s="16"/>
    </row>
    <row r="414" spans="2:6" x14ac:dyDescent="0.2">
      <c r="B414" s="16"/>
      <c r="F414" s="16"/>
    </row>
    <row r="415" spans="2:6" x14ac:dyDescent="0.2">
      <c r="B415" s="16"/>
      <c r="F415" s="16"/>
    </row>
    <row r="416" spans="2:6" x14ac:dyDescent="0.2">
      <c r="B416" s="16"/>
      <c r="F416" s="16"/>
    </row>
    <row r="417" spans="2:6" x14ac:dyDescent="0.2">
      <c r="B417" s="16"/>
      <c r="F417" s="16"/>
    </row>
    <row r="418" spans="2:6" x14ac:dyDescent="0.2">
      <c r="B418" s="16"/>
      <c r="F418" s="16"/>
    </row>
    <row r="419" spans="2:6" x14ac:dyDescent="0.2">
      <c r="B419" s="16"/>
      <c r="F419" s="16"/>
    </row>
    <row r="420" spans="2:6" x14ac:dyDescent="0.2">
      <c r="B420" s="16"/>
      <c r="F420" s="16"/>
    </row>
    <row r="421" spans="2:6" x14ac:dyDescent="0.2">
      <c r="B421" s="16"/>
      <c r="F421" s="16"/>
    </row>
    <row r="422" spans="2:6" x14ac:dyDescent="0.2">
      <c r="B422" s="16"/>
      <c r="F422" s="16"/>
    </row>
    <row r="423" spans="2:6" x14ac:dyDescent="0.2">
      <c r="B423" s="16"/>
      <c r="F423" s="16"/>
    </row>
    <row r="424" spans="2:6" x14ac:dyDescent="0.2">
      <c r="B424" s="16"/>
      <c r="F424" s="16"/>
    </row>
    <row r="425" spans="2:6" x14ac:dyDescent="0.2">
      <c r="B425" s="16"/>
      <c r="F425" s="16"/>
    </row>
    <row r="426" spans="2:6" x14ac:dyDescent="0.2">
      <c r="B426" s="16"/>
      <c r="F426" s="16"/>
    </row>
    <row r="427" spans="2:6" x14ac:dyDescent="0.2">
      <c r="B427" s="16"/>
      <c r="F427" s="16"/>
    </row>
    <row r="428" spans="2:6" x14ac:dyDescent="0.2">
      <c r="B428" s="16"/>
      <c r="F428" s="16"/>
    </row>
    <row r="429" spans="2:6" x14ac:dyDescent="0.2">
      <c r="B429" s="16"/>
      <c r="F429" s="16"/>
    </row>
    <row r="430" spans="2:6" x14ac:dyDescent="0.2">
      <c r="B430" s="16"/>
      <c r="F430" s="16"/>
    </row>
    <row r="431" spans="2:6" x14ac:dyDescent="0.2">
      <c r="B431" s="16"/>
      <c r="F431" s="16"/>
    </row>
    <row r="432" spans="2:6" x14ac:dyDescent="0.2">
      <c r="B432" s="16"/>
      <c r="F432" s="16"/>
    </row>
    <row r="433" spans="2:6" x14ac:dyDescent="0.2">
      <c r="B433" s="16"/>
      <c r="F433" s="16"/>
    </row>
    <row r="434" spans="2:6" x14ac:dyDescent="0.2">
      <c r="B434" s="16"/>
      <c r="F434" s="16"/>
    </row>
    <row r="435" spans="2:6" x14ac:dyDescent="0.2">
      <c r="B435" s="16"/>
      <c r="F435" s="16"/>
    </row>
    <row r="436" spans="2:6" x14ac:dyDescent="0.2">
      <c r="B436" s="16"/>
      <c r="F436" s="16"/>
    </row>
    <row r="437" spans="2:6" x14ac:dyDescent="0.2">
      <c r="B437" s="16"/>
      <c r="F437" s="16"/>
    </row>
    <row r="438" spans="2:6" x14ac:dyDescent="0.2">
      <c r="B438" s="16"/>
      <c r="F438" s="16"/>
    </row>
    <row r="439" spans="2:6" x14ac:dyDescent="0.2">
      <c r="B439" s="16"/>
      <c r="F439" s="16"/>
    </row>
    <row r="440" spans="2:6" x14ac:dyDescent="0.2">
      <c r="B440" s="16"/>
      <c r="F440" s="16"/>
    </row>
    <row r="441" spans="2:6" x14ac:dyDescent="0.2">
      <c r="B441" s="16"/>
      <c r="F441" s="16"/>
    </row>
    <row r="442" spans="2:6" x14ac:dyDescent="0.2">
      <c r="B442" s="16"/>
      <c r="F442" s="16"/>
    </row>
    <row r="443" spans="2:6" x14ac:dyDescent="0.2">
      <c r="B443" s="16"/>
      <c r="F443" s="16"/>
    </row>
    <row r="444" spans="2:6" x14ac:dyDescent="0.2">
      <c r="B444" s="16"/>
      <c r="F444" s="16"/>
    </row>
    <row r="445" spans="2:6" x14ac:dyDescent="0.2">
      <c r="B445" s="16"/>
      <c r="F445" s="16"/>
    </row>
    <row r="446" spans="2:6" x14ac:dyDescent="0.2">
      <c r="B446" s="16"/>
      <c r="F446" s="16"/>
    </row>
    <row r="447" spans="2:6" x14ac:dyDescent="0.2">
      <c r="B447" s="16"/>
      <c r="F447" s="16"/>
    </row>
    <row r="448" spans="2:6" x14ac:dyDescent="0.2">
      <c r="B448" s="16"/>
      <c r="F448" s="16"/>
    </row>
    <row r="449" spans="2:6" x14ac:dyDescent="0.2">
      <c r="B449" s="16"/>
      <c r="F449" s="16"/>
    </row>
    <row r="450" spans="2:6" x14ac:dyDescent="0.2">
      <c r="B450" s="16"/>
      <c r="F450" s="16"/>
    </row>
    <row r="451" spans="2:6" x14ac:dyDescent="0.2">
      <c r="B451" s="16"/>
      <c r="F451" s="16"/>
    </row>
    <row r="452" spans="2:6" x14ac:dyDescent="0.2">
      <c r="B452" s="16"/>
      <c r="F452" s="16"/>
    </row>
    <row r="453" spans="2:6" x14ac:dyDescent="0.2">
      <c r="B453" s="16"/>
      <c r="F453" s="16"/>
    </row>
    <row r="454" spans="2:6" x14ac:dyDescent="0.2">
      <c r="B454" s="16"/>
      <c r="F454" s="16"/>
    </row>
    <row r="455" spans="2:6" x14ac:dyDescent="0.2">
      <c r="B455" s="16"/>
      <c r="F455" s="16"/>
    </row>
    <row r="456" spans="2:6" x14ac:dyDescent="0.2">
      <c r="B456" s="16"/>
      <c r="F456" s="16"/>
    </row>
    <row r="457" spans="2:6" x14ac:dyDescent="0.2">
      <c r="B457" s="16"/>
      <c r="F457" s="16"/>
    </row>
    <row r="458" spans="2:6" x14ac:dyDescent="0.2">
      <c r="B458" s="16"/>
      <c r="F458" s="16"/>
    </row>
    <row r="459" spans="2:6" x14ac:dyDescent="0.2">
      <c r="B459" s="16"/>
      <c r="F459" s="16"/>
    </row>
    <row r="460" spans="2:6" x14ac:dyDescent="0.2">
      <c r="B460" s="16"/>
      <c r="F460" s="16"/>
    </row>
    <row r="461" spans="2:6" x14ac:dyDescent="0.2">
      <c r="B461" s="16"/>
      <c r="F461" s="16"/>
    </row>
    <row r="462" spans="2:6" x14ac:dyDescent="0.2">
      <c r="B462" s="16"/>
      <c r="F462" s="16"/>
    </row>
    <row r="463" spans="2:6" x14ac:dyDescent="0.2">
      <c r="B463" s="16"/>
      <c r="F463" s="16"/>
    </row>
    <row r="464" spans="2:6" x14ac:dyDescent="0.2">
      <c r="B464" s="16"/>
      <c r="F464" s="16"/>
    </row>
    <row r="465" spans="2:6" x14ac:dyDescent="0.2">
      <c r="B465" s="16"/>
      <c r="F465" s="16"/>
    </row>
    <row r="466" spans="2:6" x14ac:dyDescent="0.2">
      <c r="B466" s="16"/>
      <c r="F466" s="16"/>
    </row>
    <row r="467" spans="2:6" x14ac:dyDescent="0.2">
      <c r="B467" s="16"/>
      <c r="F467" s="16"/>
    </row>
    <row r="468" spans="2:6" x14ac:dyDescent="0.2">
      <c r="B468" s="16"/>
      <c r="F468" s="16"/>
    </row>
    <row r="469" spans="2:6" x14ac:dyDescent="0.2">
      <c r="B469" s="16"/>
      <c r="F469" s="16"/>
    </row>
    <row r="470" spans="2:6" x14ac:dyDescent="0.2">
      <c r="B470" s="16"/>
      <c r="F470" s="16"/>
    </row>
    <row r="471" spans="2:6" x14ac:dyDescent="0.2">
      <c r="B471" s="16"/>
      <c r="F471" s="16"/>
    </row>
    <row r="472" spans="2:6" x14ac:dyDescent="0.2">
      <c r="B472" s="16"/>
      <c r="F472" s="16"/>
    </row>
    <row r="473" spans="2:6" x14ac:dyDescent="0.2">
      <c r="B473" s="16"/>
      <c r="F473" s="16"/>
    </row>
    <row r="474" spans="2:6" x14ac:dyDescent="0.2">
      <c r="B474" s="16"/>
      <c r="F474" s="16"/>
    </row>
    <row r="475" spans="2:6" x14ac:dyDescent="0.2">
      <c r="B475" s="16"/>
      <c r="F475" s="16"/>
    </row>
    <row r="476" spans="2:6" x14ac:dyDescent="0.2">
      <c r="B476" s="16"/>
      <c r="F476" s="16"/>
    </row>
    <row r="477" spans="2:6" x14ac:dyDescent="0.2">
      <c r="B477" s="16"/>
      <c r="F477" s="16"/>
    </row>
    <row r="478" spans="2:6" x14ac:dyDescent="0.2">
      <c r="B478" s="16"/>
      <c r="F478" s="16"/>
    </row>
    <row r="479" spans="2:6" x14ac:dyDescent="0.2">
      <c r="B479" s="16"/>
      <c r="F479" s="16"/>
    </row>
    <row r="480" spans="2:6" x14ac:dyDescent="0.2">
      <c r="B480" s="16"/>
      <c r="F480" s="16"/>
    </row>
    <row r="481" spans="2:6" x14ac:dyDescent="0.2">
      <c r="B481" s="16"/>
      <c r="F481" s="16"/>
    </row>
    <row r="482" spans="2:6" x14ac:dyDescent="0.2">
      <c r="B482" s="16"/>
      <c r="F482" s="16"/>
    </row>
    <row r="483" spans="2:6" x14ac:dyDescent="0.2">
      <c r="B483" s="16"/>
      <c r="F483" s="16"/>
    </row>
    <row r="484" spans="2:6" x14ac:dyDescent="0.2">
      <c r="B484" s="16"/>
      <c r="F484" s="16"/>
    </row>
    <row r="485" spans="2:6" x14ac:dyDescent="0.2">
      <c r="B485" s="16"/>
      <c r="F485" s="16"/>
    </row>
    <row r="486" spans="2:6" x14ac:dyDescent="0.2">
      <c r="B486" s="16"/>
      <c r="F486" s="16"/>
    </row>
    <row r="487" spans="2:6" x14ac:dyDescent="0.2">
      <c r="B487" s="16"/>
      <c r="F487" s="16"/>
    </row>
    <row r="488" spans="2:6" x14ac:dyDescent="0.2">
      <c r="B488" s="16"/>
      <c r="F488" s="16"/>
    </row>
    <row r="489" spans="2:6" x14ac:dyDescent="0.2">
      <c r="B489" s="16"/>
      <c r="F489" s="16"/>
    </row>
    <row r="490" spans="2:6" x14ac:dyDescent="0.2">
      <c r="B490" s="16"/>
      <c r="F490" s="16"/>
    </row>
    <row r="491" spans="2:6" x14ac:dyDescent="0.2">
      <c r="B491" s="16"/>
      <c r="F491" s="16"/>
    </row>
    <row r="492" spans="2:6" x14ac:dyDescent="0.2">
      <c r="B492" s="16"/>
      <c r="F492" s="16"/>
    </row>
    <row r="493" spans="2:6" x14ac:dyDescent="0.2">
      <c r="B493" s="16"/>
      <c r="F493" s="16"/>
    </row>
    <row r="494" spans="2:6" x14ac:dyDescent="0.2">
      <c r="B494" s="16"/>
      <c r="F494" s="16"/>
    </row>
    <row r="495" spans="2:6" x14ac:dyDescent="0.2">
      <c r="B495" s="16"/>
      <c r="F495" s="16"/>
    </row>
    <row r="496" spans="2:6" x14ac:dyDescent="0.2">
      <c r="B496" s="16"/>
      <c r="F496" s="16"/>
    </row>
    <row r="497" spans="2:6" x14ac:dyDescent="0.2">
      <c r="B497" s="16"/>
      <c r="F497" s="16"/>
    </row>
    <row r="498" spans="2:6" x14ac:dyDescent="0.2">
      <c r="B498" s="16"/>
      <c r="F498" s="16"/>
    </row>
    <row r="499" spans="2:6" x14ac:dyDescent="0.2">
      <c r="B499" s="16"/>
      <c r="F499" s="16"/>
    </row>
    <row r="500" spans="2:6" x14ac:dyDescent="0.2">
      <c r="B500" s="16"/>
      <c r="F500" s="16"/>
    </row>
    <row r="501" spans="2:6" x14ac:dyDescent="0.2">
      <c r="B501" s="16"/>
      <c r="F501" s="16"/>
    </row>
    <row r="502" spans="2:6" x14ac:dyDescent="0.2">
      <c r="B502" s="16"/>
      <c r="F502" s="16"/>
    </row>
    <row r="503" spans="2:6" x14ac:dyDescent="0.2">
      <c r="B503" s="16"/>
      <c r="F503" s="16"/>
    </row>
    <row r="504" spans="2:6" x14ac:dyDescent="0.2">
      <c r="B504" s="16"/>
      <c r="F504" s="16"/>
    </row>
    <row r="505" spans="2:6" x14ac:dyDescent="0.2">
      <c r="B505" s="16"/>
      <c r="F505" s="16"/>
    </row>
    <row r="506" spans="2:6" x14ac:dyDescent="0.2">
      <c r="B506" s="16"/>
      <c r="F506" s="16"/>
    </row>
    <row r="507" spans="2:6" x14ac:dyDescent="0.2">
      <c r="B507" s="16"/>
      <c r="F507" s="16"/>
    </row>
    <row r="508" spans="2:6" x14ac:dyDescent="0.2">
      <c r="B508" s="16"/>
      <c r="F508" s="16"/>
    </row>
    <row r="509" spans="2:6" x14ac:dyDescent="0.2">
      <c r="B509" s="16"/>
      <c r="F509" s="16"/>
    </row>
    <row r="510" spans="2:6" x14ac:dyDescent="0.2">
      <c r="B510" s="16"/>
      <c r="F510" s="16"/>
    </row>
    <row r="511" spans="2:6" x14ac:dyDescent="0.2">
      <c r="B511" s="16"/>
      <c r="F511" s="16"/>
    </row>
    <row r="512" spans="2:6" x14ac:dyDescent="0.2">
      <c r="B512" s="16"/>
      <c r="F512" s="16"/>
    </row>
    <row r="513" spans="2:6" x14ac:dyDescent="0.2">
      <c r="B513" s="16"/>
      <c r="F513" s="16"/>
    </row>
    <row r="514" spans="2:6" x14ac:dyDescent="0.2">
      <c r="B514" s="16"/>
      <c r="F514" s="16"/>
    </row>
    <row r="515" spans="2:6" x14ac:dyDescent="0.2">
      <c r="B515" s="16"/>
      <c r="F515" s="16"/>
    </row>
    <row r="516" spans="2:6" x14ac:dyDescent="0.2">
      <c r="B516" s="16"/>
      <c r="F516" s="16"/>
    </row>
    <row r="517" spans="2:6" x14ac:dyDescent="0.2">
      <c r="B517" s="16"/>
      <c r="F517" s="16"/>
    </row>
    <row r="518" spans="2:6" x14ac:dyDescent="0.2">
      <c r="B518" s="16"/>
      <c r="F518" s="16"/>
    </row>
    <row r="519" spans="2:6" x14ac:dyDescent="0.2">
      <c r="B519" s="16"/>
      <c r="F519" s="16"/>
    </row>
    <row r="520" spans="2:6" x14ac:dyDescent="0.2">
      <c r="B520" s="16"/>
      <c r="F520" s="16"/>
    </row>
    <row r="521" spans="2:6" x14ac:dyDescent="0.2">
      <c r="B521" s="16"/>
      <c r="F521" s="16"/>
    </row>
    <row r="522" spans="2:6" x14ac:dyDescent="0.2">
      <c r="B522" s="16"/>
      <c r="F522" s="16"/>
    </row>
    <row r="523" spans="2:6" x14ac:dyDescent="0.2">
      <c r="B523" s="16"/>
      <c r="F523" s="16"/>
    </row>
    <row r="524" spans="2:6" x14ac:dyDescent="0.2">
      <c r="B524" s="16"/>
      <c r="F524" s="16"/>
    </row>
    <row r="525" spans="2:6" x14ac:dyDescent="0.2">
      <c r="B525" s="16"/>
      <c r="F525" s="16"/>
    </row>
    <row r="526" spans="2:6" x14ac:dyDescent="0.2">
      <c r="B526" s="16"/>
      <c r="F526" s="16"/>
    </row>
    <row r="527" spans="2:6" x14ac:dyDescent="0.2">
      <c r="B527" s="16"/>
      <c r="F527" s="16"/>
    </row>
    <row r="528" spans="2:6" x14ac:dyDescent="0.2">
      <c r="B528" s="16"/>
      <c r="F528" s="16"/>
    </row>
    <row r="529" spans="2:6" x14ac:dyDescent="0.2">
      <c r="B529" s="16"/>
      <c r="F529" s="16"/>
    </row>
    <row r="530" spans="2:6" x14ac:dyDescent="0.2">
      <c r="B530" s="16"/>
      <c r="F530" s="16"/>
    </row>
    <row r="531" spans="2:6" x14ac:dyDescent="0.2">
      <c r="B531" s="16"/>
      <c r="F531" s="16"/>
    </row>
    <row r="532" spans="2:6" x14ac:dyDescent="0.2">
      <c r="B532" s="16"/>
      <c r="F532" s="16"/>
    </row>
    <row r="533" spans="2:6" x14ac:dyDescent="0.2">
      <c r="B533" s="16"/>
      <c r="F533" s="16"/>
    </row>
    <row r="534" spans="2:6" x14ac:dyDescent="0.2">
      <c r="B534" s="16"/>
      <c r="F534" s="16"/>
    </row>
    <row r="535" spans="2:6" x14ac:dyDescent="0.2">
      <c r="B535" s="16"/>
      <c r="F535" s="16"/>
    </row>
    <row r="536" spans="2:6" x14ac:dyDescent="0.2">
      <c r="B536" s="16"/>
      <c r="F536" s="16"/>
    </row>
    <row r="537" spans="2:6" x14ac:dyDescent="0.2">
      <c r="B537" s="16"/>
      <c r="F537" s="16"/>
    </row>
    <row r="538" spans="2:6" x14ac:dyDescent="0.2">
      <c r="B538" s="16"/>
      <c r="F538" s="16"/>
    </row>
    <row r="539" spans="2:6" x14ac:dyDescent="0.2">
      <c r="B539" s="16"/>
      <c r="F539" s="16"/>
    </row>
    <row r="540" spans="2:6" x14ac:dyDescent="0.2">
      <c r="B540" s="16"/>
      <c r="F540" s="16"/>
    </row>
    <row r="541" spans="2:6" x14ac:dyDescent="0.2">
      <c r="B541" s="16"/>
      <c r="F541" s="16"/>
    </row>
    <row r="542" spans="2:6" x14ac:dyDescent="0.2">
      <c r="B542" s="16"/>
      <c r="F542" s="16"/>
    </row>
    <row r="543" spans="2:6" x14ac:dyDescent="0.2">
      <c r="B543" s="16"/>
      <c r="F543" s="16"/>
    </row>
    <row r="544" spans="2:6" x14ac:dyDescent="0.2">
      <c r="B544" s="16"/>
      <c r="F544" s="16"/>
    </row>
    <row r="545" spans="2:6" x14ac:dyDescent="0.2">
      <c r="B545" s="16"/>
      <c r="F545" s="16"/>
    </row>
    <row r="546" spans="2:6" x14ac:dyDescent="0.2">
      <c r="B546" s="16"/>
      <c r="F546" s="16"/>
    </row>
    <row r="547" spans="2:6" x14ac:dyDescent="0.2">
      <c r="B547" s="16"/>
      <c r="F547" s="16"/>
    </row>
    <row r="548" spans="2:6" x14ac:dyDescent="0.2">
      <c r="B548" s="16"/>
      <c r="F548" s="16"/>
    </row>
    <row r="549" spans="2:6" x14ac:dyDescent="0.2">
      <c r="B549" s="16"/>
      <c r="F549" s="16"/>
    </row>
    <row r="550" spans="2:6" x14ac:dyDescent="0.2">
      <c r="B550" s="16"/>
      <c r="F550" s="16"/>
    </row>
    <row r="551" spans="2:6" x14ac:dyDescent="0.2">
      <c r="B551" s="16"/>
      <c r="F551" s="16"/>
    </row>
    <row r="552" spans="2:6" x14ac:dyDescent="0.2">
      <c r="B552" s="16"/>
      <c r="F552" s="16"/>
    </row>
    <row r="553" spans="2:6" x14ac:dyDescent="0.2">
      <c r="B553" s="16"/>
      <c r="F553" s="16"/>
    </row>
    <row r="554" spans="2:6" x14ac:dyDescent="0.2">
      <c r="B554" s="16"/>
      <c r="F554" s="16"/>
    </row>
    <row r="555" spans="2:6" x14ac:dyDescent="0.2">
      <c r="B555" s="16"/>
      <c r="F555" s="16"/>
    </row>
    <row r="556" spans="2:6" x14ac:dyDescent="0.2">
      <c r="B556" s="16"/>
      <c r="F556" s="16"/>
    </row>
    <row r="557" spans="2:6" x14ac:dyDescent="0.2">
      <c r="B557" s="16"/>
      <c r="F557" s="16"/>
    </row>
    <row r="558" spans="2:6" x14ac:dyDescent="0.2">
      <c r="B558" s="16"/>
      <c r="F558" s="16"/>
    </row>
    <row r="559" spans="2:6" x14ac:dyDescent="0.2">
      <c r="B559" s="16"/>
      <c r="F559" s="16"/>
    </row>
    <row r="560" spans="2:6" x14ac:dyDescent="0.2">
      <c r="B560" s="16"/>
      <c r="F560" s="16"/>
    </row>
    <row r="561" spans="2:6" x14ac:dyDescent="0.2">
      <c r="B561" s="16"/>
      <c r="F561" s="16"/>
    </row>
    <row r="562" spans="2:6" x14ac:dyDescent="0.2">
      <c r="B562" s="16"/>
      <c r="F562" s="16"/>
    </row>
    <row r="563" spans="2:6" x14ac:dyDescent="0.2">
      <c r="B563" s="16"/>
      <c r="F563" s="16"/>
    </row>
    <row r="564" spans="2:6" x14ac:dyDescent="0.2">
      <c r="B564" s="16"/>
      <c r="F564" s="16"/>
    </row>
    <row r="565" spans="2:6" x14ac:dyDescent="0.2">
      <c r="B565" s="16"/>
      <c r="F565" s="16"/>
    </row>
    <row r="566" spans="2:6" x14ac:dyDescent="0.2">
      <c r="B566" s="16"/>
      <c r="F566" s="16"/>
    </row>
    <row r="567" spans="2:6" x14ac:dyDescent="0.2">
      <c r="B567" s="16"/>
      <c r="F567" s="16"/>
    </row>
    <row r="568" spans="2:6" x14ac:dyDescent="0.2">
      <c r="B568" s="16"/>
      <c r="F568" s="16"/>
    </row>
    <row r="569" spans="2:6" x14ac:dyDescent="0.2">
      <c r="B569" s="16"/>
      <c r="F569" s="16"/>
    </row>
    <row r="570" spans="2:6" x14ac:dyDescent="0.2">
      <c r="B570" s="16"/>
      <c r="F570" s="16"/>
    </row>
    <row r="571" spans="2:6" x14ac:dyDescent="0.2">
      <c r="B571" s="16"/>
      <c r="F571" s="16"/>
    </row>
    <row r="572" spans="2:6" x14ac:dyDescent="0.2">
      <c r="B572" s="16"/>
      <c r="F572" s="16"/>
    </row>
    <row r="573" spans="2:6" x14ac:dyDescent="0.2">
      <c r="B573" s="16"/>
      <c r="F573" s="16"/>
    </row>
    <row r="574" spans="2:6" x14ac:dyDescent="0.2">
      <c r="B574" s="16"/>
      <c r="F574" s="16"/>
    </row>
    <row r="575" spans="2:6" x14ac:dyDescent="0.2">
      <c r="B575" s="16"/>
      <c r="F575" s="16"/>
    </row>
    <row r="576" spans="2:6" x14ac:dyDescent="0.2">
      <c r="B576" s="16"/>
      <c r="F576" s="16"/>
    </row>
    <row r="577" spans="2:6" x14ac:dyDescent="0.2">
      <c r="B577" s="16"/>
      <c r="F577" s="16"/>
    </row>
    <row r="578" spans="2:6" x14ac:dyDescent="0.2">
      <c r="B578" s="16"/>
      <c r="F578" s="16"/>
    </row>
    <row r="579" spans="2:6" x14ac:dyDescent="0.2">
      <c r="B579" s="16"/>
      <c r="F579" s="16"/>
    </row>
    <row r="580" spans="2:6" x14ac:dyDescent="0.2">
      <c r="B580" s="16"/>
      <c r="F580" s="16"/>
    </row>
    <row r="581" spans="2:6" x14ac:dyDescent="0.2">
      <c r="B581" s="16"/>
      <c r="F581" s="16"/>
    </row>
    <row r="582" spans="2:6" x14ac:dyDescent="0.2">
      <c r="B582" s="16"/>
      <c r="F582" s="16"/>
    </row>
    <row r="583" spans="2:6" x14ac:dyDescent="0.2">
      <c r="B583" s="16"/>
      <c r="F583" s="16"/>
    </row>
    <row r="584" spans="2:6" x14ac:dyDescent="0.2">
      <c r="B584" s="16"/>
      <c r="F584" s="16"/>
    </row>
    <row r="585" spans="2:6" x14ac:dyDescent="0.2">
      <c r="B585" s="16"/>
      <c r="F585" s="16"/>
    </row>
    <row r="586" spans="2:6" x14ac:dyDescent="0.2">
      <c r="B586" s="16"/>
      <c r="F586" s="16"/>
    </row>
    <row r="587" spans="2:6" x14ac:dyDescent="0.2">
      <c r="B587" s="16"/>
      <c r="F587" s="16"/>
    </row>
    <row r="588" spans="2:6" x14ac:dyDescent="0.2">
      <c r="B588" s="16"/>
      <c r="F588" s="16"/>
    </row>
    <row r="589" spans="2:6" x14ac:dyDescent="0.2">
      <c r="B589" s="16"/>
      <c r="F589" s="16"/>
    </row>
    <row r="590" spans="2:6" x14ac:dyDescent="0.2">
      <c r="B590" s="16"/>
      <c r="F590" s="16"/>
    </row>
    <row r="591" spans="2:6" x14ac:dyDescent="0.2">
      <c r="B591" s="16"/>
      <c r="F591" s="16"/>
    </row>
    <row r="592" spans="2:6" x14ac:dyDescent="0.2">
      <c r="B592" s="16"/>
      <c r="F592" s="16"/>
    </row>
    <row r="593" spans="2:6" x14ac:dyDescent="0.2">
      <c r="B593" s="16"/>
      <c r="F593" s="16"/>
    </row>
    <row r="594" spans="2:6" x14ac:dyDescent="0.2">
      <c r="B594" s="16"/>
      <c r="F594" s="16"/>
    </row>
    <row r="595" spans="2:6" x14ac:dyDescent="0.2">
      <c r="B595" s="16"/>
      <c r="F595" s="16"/>
    </row>
    <row r="596" spans="2:6" x14ac:dyDescent="0.2">
      <c r="B596" s="16"/>
      <c r="F596" s="16"/>
    </row>
    <row r="597" spans="2:6" x14ac:dyDescent="0.2">
      <c r="B597" s="16"/>
      <c r="F597" s="16"/>
    </row>
    <row r="598" spans="2:6" x14ac:dyDescent="0.2">
      <c r="B598" s="16"/>
      <c r="F598" s="16"/>
    </row>
    <row r="599" spans="2:6" x14ac:dyDescent="0.2">
      <c r="B599" s="16"/>
      <c r="F599" s="16"/>
    </row>
    <row r="600" spans="2:6" x14ac:dyDescent="0.2">
      <c r="B600" s="16"/>
      <c r="F600" s="16"/>
    </row>
    <row r="601" spans="2:6" x14ac:dyDescent="0.2">
      <c r="B601" s="16"/>
      <c r="F601" s="16"/>
    </row>
    <row r="602" spans="2:6" x14ac:dyDescent="0.2">
      <c r="B602" s="16"/>
      <c r="F602" s="16"/>
    </row>
    <row r="603" spans="2:6" x14ac:dyDescent="0.2">
      <c r="B603" s="16"/>
      <c r="F603" s="16"/>
    </row>
    <row r="604" spans="2:6" x14ac:dyDescent="0.2">
      <c r="B604" s="16"/>
      <c r="F604" s="16"/>
    </row>
    <row r="605" spans="2:6" x14ac:dyDescent="0.2">
      <c r="B605" s="16"/>
      <c r="F605" s="16"/>
    </row>
    <row r="606" spans="2:6" x14ac:dyDescent="0.2">
      <c r="B606" s="16"/>
      <c r="F606" s="16"/>
    </row>
    <row r="607" spans="2:6" x14ac:dyDescent="0.2">
      <c r="B607" s="16"/>
      <c r="F607" s="16"/>
    </row>
    <row r="608" spans="2:6" x14ac:dyDescent="0.2">
      <c r="B608" s="16"/>
      <c r="F608" s="16"/>
    </row>
    <row r="609" spans="2:6" x14ac:dyDescent="0.2">
      <c r="B609" s="16"/>
      <c r="F609" s="16"/>
    </row>
    <row r="610" spans="2:6" x14ac:dyDescent="0.2">
      <c r="B610" s="16"/>
      <c r="F610" s="16"/>
    </row>
    <row r="611" spans="2:6" x14ac:dyDescent="0.2">
      <c r="B611" s="16"/>
      <c r="F611" s="16"/>
    </row>
    <row r="612" spans="2:6" x14ac:dyDescent="0.2">
      <c r="B612" s="16"/>
      <c r="F612" s="16"/>
    </row>
    <row r="613" spans="2:6" x14ac:dyDescent="0.2">
      <c r="B613" s="16"/>
      <c r="F613" s="16"/>
    </row>
    <row r="614" spans="2:6" x14ac:dyDescent="0.2">
      <c r="B614" s="16"/>
      <c r="F614" s="16"/>
    </row>
    <row r="615" spans="2:6" x14ac:dyDescent="0.2">
      <c r="B615" s="16"/>
      <c r="F615" s="16"/>
    </row>
    <row r="616" spans="2:6" x14ac:dyDescent="0.2">
      <c r="B616" s="16"/>
      <c r="F616" s="16"/>
    </row>
    <row r="617" spans="2:6" x14ac:dyDescent="0.2">
      <c r="B617" s="16"/>
      <c r="F617" s="16"/>
    </row>
    <row r="618" spans="2:6" x14ac:dyDescent="0.2">
      <c r="B618" s="16"/>
      <c r="F618" s="16"/>
    </row>
    <row r="619" spans="2:6" x14ac:dyDescent="0.2">
      <c r="B619" s="16"/>
      <c r="F619" s="16"/>
    </row>
    <row r="620" spans="2:6" x14ac:dyDescent="0.2">
      <c r="B620" s="16"/>
      <c r="F620" s="16"/>
    </row>
    <row r="621" spans="2:6" x14ac:dyDescent="0.2">
      <c r="B621" s="16"/>
      <c r="F621" s="16"/>
    </row>
    <row r="622" spans="2:6" x14ac:dyDescent="0.2">
      <c r="B622" s="16"/>
      <c r="F622" s="16"/>
    </row>
    <row r="623" spans="2:6" x14ac:dyDescent="0.2">
      <c r="B623" s="16"/>
      <c r="F623" s="16"/>
    </row>
    <row r="624" spans="2:6" x14ac:dyDescent="0.2">
      <c r="B624" s="16"/>
      <c r="F624" s="16"/>
    </row>
    <row r="625" spans="2:6" x14ac:dyDescent="0.2">
      <c r="B625" s="16"/>
      <c r="F625" s="16"/>
    </row>
    <row r="626" spans="2:6" x14ac:dyDescent="0.2">
      <c r="B626" s="16"/>
      <c r="F626" s="16"/>
    </row>
    <row r="627" spans="2:6" x14ac:dyDescent="0.2">
      <c r="B627" s="16"/>
      <c r="F627" s="16"/>
    </row>
    <row r="628" spans="2:6" x14ac:dyDescent="0.2">
      <c r="B628" s="16"/>
      <c r="F628" s="16"/>
    </row>
    <row r="629" spans="2:6" x14ac:dyDescent="0.2">
      <c r="B629" s="16"/>
      <c r="F629" s="16"/>
    </row>
    <row r="630" spans="2:6" x14ac:dyDescent="0.2">
      <c r="B630" s="16"/>
      <c r="F630" s="16"/>
    </row>
    <row r="631" spans="2:6" x14ac:dyDescent="0.2">
      <c r="B631" s="16"/>
      <c r="F631" s="16"/>
    </row>
    <row r="632" spans="2:6" x14ac:dyDescent="0.2">
      <c r="B632" s="16"/>
      <c r="F632" s="16"/>
    </row>
    <row r="633" spans="2:6" x14ac:dyDescent="0.2">
      <c r="B633" s="16"/>
      <c r="F633" s="16"/>
    </row>
    <row r="634" spans="2:6" x14ac:dyDescent="0.2">
      <c r="B634" s="16"/>
      <c r="F634" s="16"/>
    </row>
    <row r="635" spans="2:6" x14ac:dyDescent="0.2">
      <c r="B635" s="16"/>
      <c r="F635" s="16"/>
    </row>
    <row r="636" spans="2:6" x14ac:dyDescent="0.2">
      <c r="B636" s="16"/>
      <c r="F636" s="16"/>
    </row>
    <row r="637" spans="2:6" x14ac:dyDescent="0.2">
      <c r="B637" s="16"/>
      <c r="F637" s="16"/>
    </row>
    <row r="638" spans="2:6" x14ac:dyDescent="0.2">
      <c r="B638" s="16"/>
      <c r="F638" s="16"/>
    </row>
    <row r="639" spans="2:6" x14ac:dyDescent="0.2">
      <c r="B639" s="16"/>
      <c r="F639" s="16"/>
    </row>
    <row r="640" spans="2:6" x14ac:dyDescent="0.2">
      <c r="B640" s="16"/>
      <c r="F640" s="16"/>
    </row>
    <row r="641" spans="2:6" x14ac:dyDescent="0.2">
      <c r="B641" s="16"/>
      <c r="F641" s="16"/>
    </row>
    <row r="642" spans="2:6" x14ac:dyDescent="0.2">
      <c r="B642" s="16"/>
      <c r="F642" s="16"/>
    </row>
    <row r="643" spans="2:6" x14ac:dyDescent="0.2">
      <c r="B643" s="16"/>
      <c r="F643" s="16"/>
    </row>
    <row r="644" spans="2:6" x14ac:dyDescent="0.2">
      <c r="B644" s="16"/>
      <c r="F644" s="16"/>
    </row>
    <row r="645" spans="2:6" x14ac:dyDescent="0.2">
      <c r="B645" s="16"/>
      <c r="F645" s="16"/>
    </row>
    <row r="646" spans="2:6" x14ac:dyDescent="0.2">
      <c r="B646" s="16"/>
      <c r="F646" s="16"/>
    </row>
    <row r="647" spans="2:6" x14ac:dyDescent="0.2">
      <c r="B647" s="16"/>
      <c r="F647" s="16"/>
    </row>
    <row r="648" spans="2:6" x14ac:dyDescent="0.2">
      <c r="B648" s="16"/>
      <c r="F648" s="16"/>
    </row>
    <row r="649" spans="2:6" x14ac:dyDescent="0.2">
      <c r="B649" s="16"/>
      <c r="F649" s="16"/>
    </row>
    <row r="650" spans="2:6" x14ac:dyDescent="0.2">
      <c r="B650" s="16"/>
      <c r="F650" s="16"/>
    </row>
    <row r="651" spans="2:6" x14ac:dyDescent="0.2">
      <c r="B651" s="16"/>
      <c r="F651" s="16"/>
    </row>
    <row r="652" spans="2:6" x14ac:dyDescent="0.2">
      <c r="B652" s="16"/>
      <c r="F652" s="16"/>
    </row>
    <row r="653" spans="2:6" x14ac:dyDescent="0.2">
      <c r="B653" s="16"/>
      <c r="F653" s="16"/>
    </row>
    <row r="654" spans="2:6" x14ac:dyDescent="0.2">
      <c r="B654" s="16"/>
      <c r="F654" s="16"/>
    </row>
    <row r="655" spans="2:6" x14ac:dyDescent="0.2">
      <c r="B655" s="16"/>
      <c r="F655" s="16"/>
    </row>
    <row r="656" spans="2:6" x14ac:dyDescent="0.2">
      <c r="B656" s="16"/>
      <c r="F656" s="16"/>
    </row>
    <row r="657" spans="2:6" x14ac:dyDescent="0.2">
      <c r="B657" s="16"/>
      <c r="F657" s="16"/>
    </row>
    <row r="658" spans="2:6" x14ac:dyDescent="0.2">
      <c r="B658" s="16"/>
      <c r="F658" s="16"/>
    </row>
    <row r="659" spans="2:6" x14ac:dyDescent="0.2">
      <c r="B659" s="16"/>
      <c r="F659" s="16"/>
    </row>
    <row r="660" spans="2:6" x14ac:dyDescent="0.2">
      <c r="B660" s="16"/>
      <c r="F660" s="16"/>
    </row>
    <row r="661" spans="2:6" x14ac:dyDescent="0.2">
      <c r="B661" s="16"/>
      <c r="F661" s="16"/>
    </row>
    <row r="662" spans="2:6" x14ac:dyDescent="0.2">
      <c r="B662" s="16"/>
      <c r="F662" s="16"/>
    </row>
    <row r="663" spans="2:6" x14ac:dyDescent="0.2">
      <c r="B663" s="16"/>
      <c r="F663" s="16"/>
    </row>
    <row r="664" spans="2:6" x14ac:dyDescent="0.2">
      <c r="B664" s="16"/>
      <c r="F664" s="16"/>
    </row>
    <row r="665" spans="2:6" x14ac:dyDescent="0.2">
      <c r="B665" s="16"/>
      <c r="F665" s="16"/>
    </row>
    <row r="666" spans="2:6" x14ac:dyDescent="0.2">
      <c r="B666" s="16"/>
      <c r="F666" s="16"/>
    </row>
    <row r="667" spans="2:6" x14ac:dyDescent="0.2">
      <c r="B667" s="16"/>
      <c r="F667" s="16"/>
    </row>
    <row r="668" spans="2:6" x14ac:dyDescent="0.2">
      <c r="B668" s="16"/>
      <c r="F668" s="16"/>
    </row>
    <row r="669" spans="2:6" x14ac:dyDescent="0.2">
      <c r="B669" s="16"/>
      <c r="F669" s="16"/>
    </row>
    <row r="670" spans="2:6" x14ac:dyDescent="0.2">
      <c r="B670" s="16"/>
      <c r="F670" s="16"/>
    </row>
    <row r="671" spans="2:6" x14ac:dyDescent="0.2">
      <c r="B671" s="16"/>
      <c r="F671" s="16"/>
    </row>
    <row r="672" spans="2:6" x14ac:dyDescent="0.2">
      <c r="B672" s="16"/>
      <c r="F672" s="16"/>
    </row>
    <row r="673" spans="2:6" x14ac:dyDescent="0.2">
      <c r="B673" s="16"/>
      <c r="F673" s="16"/>
    </row>
    <row r="674" spans="2:6" x14ac:dyDescent="0.2">
      <c r="B674" s="16"/>
      <c r="F674" s="16"/>
    </row>
    <row r="675" spans="2:6" x14ac:dyDescent="0.2">
      <c r="B675" s="16"/>
      <c r="F675" s="16"/>
    </row>
    <row r="676" spans="2:6" x14ac:dyDescent="0.2">
      <c r="B676" s="16"/>
      <c r="F676" s="16"/>
    </row>
    <row r="677" spans="2:6" x14ac:dyDescent="0.2">
      <c r="B677" s="16"/>
      <c r="F677" s="16"/>
    </row>
    <row r="678" spans="2:6" x14ac:dyDescent="0.2">
      <c r="B678" s="16"/>
      <c r="F678" s="16"/>
    </row>
    <row r="679" spans="2:6" x14ac:dyDescent="0.2">
      <c r="B679" s="16"/>
      <c r="F679" s="16"/>
    </row>
    <row r="680" spans="2:6" x14ac:dyDescent="0.2">
      <c r="B680" s="16"/>
      <c r="F680" s="16"/>
    </row>
    <row r="681" spans="2:6" x14ac:dyDescent="0.2">
      <c r="B681" s="16"/>
      <c r="F681" s="16"/>
    </row>
    <row r="682" spans="2:6" x14ac:dyDescent="0.2">
      <c r="B682" s="16"/>
      <c r="F682" s="16"/>
    </row>
    <row r="683" spans="2:6" x14ac:dyDescent="0.2">
      <c r="B683" s="16"/>
      <c r="F683" s="16"/>
    </row>
    <row r="684" spans="2:6" x14ac:dyDescent="0.2">
      <c r="B684" s="16"/>
      <c r="F684" s="16"/>
    </row>
    <row r="685" spans="2:6" x14ac:dyDescent="0.2">
      <c r="B685" s="16"/>
      <c r="F685" s="16"/>
    </row>
    <row r="686" spans="2:6" x14ac:dyDescent="0.2">
      <c r="B686" s="16"/>
      <c r="F686" s="16"/>
    </row>
    <row r="687" spans="2:6" x14ac:dyDescent="0.2">
      <c r="B687" s="16"/>
      <c r="F687" s="16"/>
    </row>
    <row r="688" spans="2:6" x14ac:dyDescent="0.2">
      <c r="B688" s="16"/>
      <c r="F688" s="16"/>
    </row>
    <row r="689" spans="2:6" x14ac:dyDescent="0.2">
      <c r="B689" s="16"/>
      <c r="F689" s="16"/>
    </row>
    <row r="690" spans="2:6" x14ac:dyDescent="0.2">
      <c r="B690" s="16"/>
      <c r="F690" s="16"/>
    </row>
    <row r="691" spans="2:6" x14ac:dyDescent="0.2">
      <c r="B691" s="16"/>
      <c r="F691" s="16"/>
    </row>
    <row r="692" spans="2:6" x14ac:dyDescent="0.2">
      <c r="B692" s="16"/>
      <c r="F692" s="16"/>
    </row>
    <row r="693" spans="2:6" x14ac:dyDescent="0.2">
      <c r="B693" s="16"/>
      <c r="F693" s="16"/>
    </row>
    <row r="694" spans="2:6" x14ac:dyDescent="0.2">
      <c r="B694" s="16"/>
      <c r="F694" s="16"/>
    </row>
    <row r="695" spans="2:6" x14ac:dyDescent="0.2">
      <c r="B695" s="16"/>
      <c r="F695" s="16"/>
    </row>
    <row r="696" spans="2:6" x14ac:dyDescent="0.2">
      <c r="B696" s="16"/>
      <c r="F696" s="16"/>
    </row>
    <row r="697" spans="2:6" x14ac:dyDescent="0.2">
      <c r="B697" s="16"/>
      <c r="F697" s="16"/>
    </row>
    <row r="698" spans="2:6" x14ac:dyDescent="0.2">
      <c r="B698" s="16"/>
      <c r="F698" s="16"/>
    </row>
    <row r="699" spans="2:6" x14ac:dyDescent="0.2">
      <c r="B699" s="16"/>
      <c r="F699" s="16"/>
    </row>
    <row r="700" spans="2:6" x14ac:dyDescent="0.2">
      <c r="B700" s="16"/>
      <c r="F700" s="16"/>
    </row>
    <row r="701" spans="2:6" x14ac:dyDescent="0.2">
      <c r="B701" s="16"/>
      <c r="F701" s="16"/>
    </row>
    <row r="702" spans="2:6" x14ac:dyDescent="0.2">
      <c r="B702" s="16"/>
      <c r="F702" s="16"/>
    </row>
    <row r="703" spans="2:6" x14ac:dyDescent="0.2">
      <c r="B703" s="16"/>
      <c r="F703" s="16"/>
    </row>
    <row r="704" spans="2:6" x14ac:dyDescent="0.2">
      <c r="B704" s="16"/>
      <c r="F704" s="16"/>
    </row>
    <row r="705" spans="2:6" x14ac:dyDescent="0.2">
      <c r="B705" s="16"/>
      <c r="F705" s="16"/>
    </row>
    <row r="706" spans="2:6" x14ac:dyDescent="0.2">
      <c r="B706" s="16"/>
      <c r="F706" s="16"/>
    </row>
    <row r="707" spans="2:6" x14ac:dyDescent="0.2">
      <c r="B707" s="16"/>
      <c r="F707" s="16"/>
    </row>
    <row r="708" spans="2:6" x14ac:dyDescent="0.2">
      <c r="B708" s="16"/>
      <c r="F708" s="16"/>
    </row>
    <row r="709" spans="2:6" x14ac:dyDescent="0.2">
      <c r="B709" s="16"/>
      <c r="F709" s="16"/>
    </row>
    <row r="710" spans="2:6" x14ac:dyDescent="0.2">
      <c r="B710" s="16"/>
      <c r="F710" s="16"/>
    </row>
    <row r="711" spans="2:6" x14ac:dyDescent="0.2">
      <c r="B711" s="16"/>
      <c r="F711" s="16"/>
    </row>
    <row r="712" spans="2:6" x14ac:dyDescent="0.2">
      <c r="B712" s="16"/>
      <c r="F712" s="16"/>
    </row>
    <row r="713" spans="2:6" x14ac:dyDescent="0.2">
      <c r="B713" s="16"/>
      <c r="F713" s="16"/>
    </row>
    <row r="714" spans="2:6" x14ac:dyDescent="0.2">
      <c r="B714" s="16"/>
      <c r="F714" s="16"/>
    </row>
    <row r="715" spans="2:6" x14ac:dyDescent="0.2">
      <c r="B715" s="16"/>
      <c r="F715" s="16"/>
    </row>
    <row r="716" spans="2:6" x14ac:dyDescent="0.2">
      <c r="B716" s="16"/>
      <c r="F716" s="16"/>
    </row>
    <row r="717" spans="2:6" x14ac:dyDescent="0.2">
      <c r="B717" s="16"/>
      <c r="F717" s="16"/>
    </row>
    <row r="718" spans="2:6" x14ac:dyDescent="0.2">
      <c r="B718" s="16"/>
      <c r="F718" s="16"/>
    </row>
    <row r="719" spans="2:6" x14ac:dyDescent="0.2">
      <c r="B719" s="16"/>
      <c r="F719" s="16"/>
    </row>
    <row r="720" spans="2:6" x14ac:dyDescent="0.2">
      <c r="B720" s="16"/>
      <c r="F720" s="16"/>
    </row>
    <row r="721" spans="2:6" x14ac:dyDescent="0.2">
      <c r="B721" s="16"/>
      <c r="F721" s="16"/>
    </row>
    <row r="722" spans="2:6" x14ac:dyDescent="0.2">
      <c r="B722" s="16"/>
      <c r="F722" s="16"/>
    </row>
    <row r="723" spans="2:6" x14ac:dyDescent="0.2">
      <c r="B723" s="16"/>
      <c r="F723" s="16"/>
    </row>
    <row r="724" spans="2:6" x14ac:dyDescent="0.2">
      <c r="B724" s="16"/>
      <c r="F724" s="16"/>
    </row>
    <row r="725" spans="2:6" x14ac:dyDescent="0.2">
      <c r="B725" s="16"/>
      <c r="F725" s="16"/>
    </row>
    <row r="726" spans="2:6" x14ac:dyDescent="0.2">
      <c r="B726" s="16"/>
      <c r="F726" s="16"/>
    </row>
    <row r="727" spans="2:6" x14ac:dyDescent="0.2">
      <c r="B727" s="16"/>
      <c r="F727" s="16"/>
    </row>
    <row r="728" spans="2:6" x14ac:dyDescent="0.2">
      <c r="B728" s="16"/>
      <c r="F728" s="16"/>
    </row>
    <row r="729" spans="2:6" x14ac:dyDescent="0.2">
      <c r="B729" s="16"/>
      <c r="F729" s="16"/>
    </row>
    <row r="730" spans="2:6" x14ac:dyDescent="0.2">
      <c r="B730" s="16"/>
      <c r="F730" s="16"/>
    </row>
    <row r="731" spans="2:6" x14ac:dyDescent="0.2">
      <c r="B731" s="16"/>
      <c r="F731" s="16"/>
    </row>
    <row r="732" spans="2:6" x14ac:dyDescent="0.2">
      <c r="B732" s="16"/>
      <c r="F732" s="16"/>
    </row>
    <row r="733" spans="2:6" x14ac:dyDescent="0.2">
      <c r="B733" s="16"/>
      <c r="F733" s="16"/>
    </row>
    <row r="734" spans="2:6" x14ac:dyDescent="0.2">
      <c r="B734" s="16"/>
      <c r="F734" s="16"/>
    </row>
    <row r="735" spans="2:6" x14ac:dyDescent="0.2">
      <c r="B735" s="16"/>
      <c r="F735" s="16"/>
    </row>
    <row r="736" spans="2:6" x14ac:dyDescent="0.2">
      <c r="B736" s="16"/>
      <c r="F736" s="16"/>
    </row>
    <row r="737" spans="2:6" x14ac:dyDescent="0.2">
      <c r="B737" s="16"/>
      <c r="F737" s="16"/>
    </row>
    <row r="738" spans="2:6" x14ac:dyDescent="0.2">
      <c r="B738" s="16"/>
      <c r="F738" s="16"/>
    </row>
    <row r="739" spans="2:6" x14ac:dyDescent="0.2">
      <c r="B739" s="16"/>
      <c r="F739" s="16"/>
    </row>
    <row r="740" spans="2:6" x14ac:dyDescent="0.2">
      <c r="B740" s="16"/>
      <c r="F740" s="16"/>
    </row>
    <row r="741" spans="2:6" x14ac:dyDescent="0.2">
      <c r="B741" s="16"/>
      <c r="F741" s="16"/>
    </row>
    <row r="742" spans="2:6" x14ac:dyDescent="0.2">
      <c r="B742" s="16"/>
      <c r="F742" s="16"/>
    </row>
    <row r="743" spans="2:6" x14ac:dyDescent="0.2">
      <c r="B743" s="16"/>
      <c r="F743" s="16"/>
    </row>
    <row r="744" spans="2:6" x14ac:dyDescent="0.2">
      <c r="B744" s="16"/>
      <c r="F744" s="16"/>
    </row>
    <row r="745" spans="2:6" x14ac:dyDescent="0.2">
      <c r="B745" s="16"/>
      <c r="F745" s="16"/>
    </row>
    <row r="746" spans="2:6" x14ac:dyDescent="0.2">
      <c r="B746" s="16"/>
      <c r="F746" s="16"/>
    </row>
    <row r="747" spans="2:6" x14ac:dyDescent="0.2">
      <c r="B747" s="16"/>
      <c r="F747" s="16"/>
    </row>
    <row r="748" spans="2:6" x14ac:dyDescent="0.2">
      <c r="B748" s="16"/>
      <c r="F748" s="16"/>
    </row>
    <row r="749" spans="2:6" x14ac:dyDescent="0.2">
      <c r="B749" s="16"/>
      <c r="F749" s="16"/>
    </row>
    <row r="750" spans="2:6" x14ac:dyDescent="0.2">
      <c r="B750" s="16"/>
      <c r="F750" s="16"/>
    </row>
    <row r="751" spans="2:6" x14ac:dyDescent="0.2">
      <c r="B751" s="16"/>
      <c r="F751" s="16"/>
    </row>
    <row r="752" spans="2:6" x14ac:dyDescent="0.2">
      <c r="B752" s="16"/>
      <c r="F752" s="16"/>
    </row>
    <row r="753" spans="2:6" x14ac:dyDescent="0.2">
      <c r="B753" s="16"/>
      <c r="F753" s="16"/>
    </row>
    <row r="754" spans="2:6" x14ac:dyDescent="0.2">
      <c r="B754" s="16"/>
      <c r="F754" s="16"/>
    </row>
    <row r="755" spans="2:6" x14ac:dyDescent="0.2">
      <c r="B755" s="16"/>
      <c r="F755" s="16"/>
    </row>
    <row r="756" spans="2:6" x14ac:dyDescent="0.2">
      <c r="B756" s="16"/>
      <c r="F756" s="16"/>
    </row>
    <row r="757" spans="2:6" x14ac:dyDescent="0.2">
      <c r="B757" s="16"/>
      <c r="F757" s="16"/>
    </row>
    <row r="758" spans="2:6" x14ac:dyDescent="0.2">
      <c r="B758" s="16"/>
      <c r="F758" s="16"/>
    </row>
    <row r="759" spans="2:6" x14ac:dyDescent="0.2">
      <c r="B759" s="16"/>
      <c r="F759" s="16"/>
    </row>
    <row r="760" spans="2:6" x14ac:dyDescent="0.2">
      <c r="B760" s="16"/>
      <c r="F760" s="16"/>
    </row>
    <row r="761" spans="2:6" x14ac:dyDescent="0.2">
      <c r="B761" s="16"/>
      <c r="F761" s="16"/>
    </row>
    <row r="762" spans="2:6" x14ac:dyDescent="0.2">
      <c r="B762" s="16"/>
      <c r="F762" s="16"/>
    </row>
    <row r="763" spans="2:6" x14ac:dyDescent="0.2">
      <c r="B763" s="16"/>
      <c r="F763" s="16"/>
    </row>
    <row r="764" spans="2:6" x14ac:dyDescent="0.2">
      <c r="B764" s="16"/>
      <c r="F764" s="16"/>
    </row>
    <row r="765" spans="2:6" x14ac:dyDescent="0.2">
      <c r="B765" s="16"/>
      <c r="F765" s="16"/>
    </row>
    <row r="766" spans="2:6" x14ac:dyDescent="0.2">
      <c r="B766" s="16"/>
      <c r="F766" s="16"/>
    </row>
    <row r="767" spans="2:6" x14ac:dyDescent="0.2">
      <c r="B767" s="16"/>
      <c r="F767" s="16"/>
    </row>
    <row r="768" spans="2:6" x14ac:dyDescent="0.2">
      <c r="B768" s="16"/>
      <c r="F768" s="16"/>
    </row>
    <row r="769" spans="2:6" x14ac:dyDescent="0.2">
      <c r="B769" s="16"/>
      <c r="F769" s="16"/>
    </row>
    <row r="770" spans="2:6" x14ac:dyDescent="0.2">
      <c r="B770" s="16"/>
      <c r="F770" s="16"/>
    </row>
    <row r="771" spans="2:6" x14ac:dyDescent="0.2">
      <c r="B771" s="16"/>
      <c r="F771" s="16"/>
    </row>
    <row r="772" spans="2:6" x14ac:dyDescent="0.2">
      <c r="B772" s="16"/>
      <c r="F772" s="16"/>
    </row>
    <row r="773" spans="2:6" x14ac:dyDescent="0.2">
      <c r="B773" s="16"/>
      <c r="F773" s="16"/>
    </row>
    <row r="774" spans="2:6" x14ac:dyDescent="0.2">
      <c r="B774" s="16"/>
      <c r="F774" s="16"/>
    </row>
    <row r="775" spans="2:6" x14ac:dyDescent="0.2">
      <c r="B775" s="16"/>
      <c r="F775" s="16"/>
    </row>
    <row r="776" spans="2:6" x14ac:dyDescent="0.2">
      <c r="B776" s="16"/>
      <c r="F776" s="16"/>
    </row>
    <row r="777" spans="2:6" x14ac:dyDescent="0.2">
      <c r="B777" s="16"/>
      <c r="F777" s="16"/>
    </row>
    <row r="778" spans="2:6" x14ac:dyDescent="0.2">
      <c r="B778" s="16"/>
      <c r="F778" s="16"/>
    </row>
    <row r="779" spans="2:6" x14ac:dyDescent="0.2">
      <c r="B779" s="16"/>
      <c r="F779" s="16"/>
    </row>
    <row r="780" spans="2:6" x14ac:dyDescent="0.2">
      <c r="B780" s="16"/>
      <c r="F780" s="16"/>
    </row>
    <row r="781" spans="2:6" x14ac:dyDescent="0.2">
      <c r="B781" s="16"/>
      <c r="F781" s="16"/>
    </row>
    <row r="782" spans="2:6" x14ac:dyDescent="0.2">
      <c r="B782" s="16"/>
      <c r="F782" s="16"/>
    </row>
    <row r="783" spans="2:6" x14ac:dyDescent="0.2">
      <c r="B783" s="16"/>
      <c r="F783" s="16"/>
    </row>
    <row r="784" spans="2:6" x14ac:dyDescent="0.2">
      <c r="B784" s="16"/>
      <c r="F784" s="16"/>
    </row>
    <row r="785" spans="2:6" x14ac:dyDescent="0.2">
      <c r="B785" s="16"/>
      <c r="F785" s="16"/>
    </row>
    <row r="786" spans="2:6" x14ac:dyDescent="0.2">
      <c r="B786" s="16"/>
      <c r="F786" s="16"/>
    </row>
    <row r="787" spans="2:6" x14ac:dyDescent="0.2">
      <c r="B787" s="16"/>
      <c r="F787" s="16"/>
    </row>
    <row r="788" spans="2:6" x14ac:dyDescent="0.2">
      <c r="B788" s="16"/>
      <c r="F788" s="16"/>
    </row>
    <row r="789" spans="2:6" x14ac:dyDescent="0.2">
      <c r="B789" s="16"/>
      <c r="F789" s="16"/>
    </row>
    <row r="790" spans="2:6" x14ac:dyDescent="0.2">
      <c r="B790" s="16"/>
      <c r="F790" s="16"/>
    </row>
    <row r="791" spans="2:6" x14ac:dyDescent="0.2">
      <c r="B791" s="16"/>
      <c r="F791" s="16"/>
    </row>
    <row r="792" spans="2:6" x14ac:dyDescent="0.2">
      <c r="B792" s="16"/>
      <c r="F792" s="16"/>
    </row>
    <row r="793" spans="2:6" x14ac:dyDescent="0.2">
      <c r="B793" s="16"/>
      <c r="F793" s="16"/>
    </row>
    <row r="794" spans="2:6" x14ac:dyDescent="0.2">
      <c r="B794" s="16"/>
      <c r="F794" s="16"/>
    </row>
    <row r="795" spans="2:6" x14ac:dyDescent="0.2">
      <c r="B795" s="16"/>
      <c r="F795" s="16"/>
    </row>
    <row r="796" spans="2:6" x14ac:dyDescent="0.2">
      <c r="B796" s="16"/>
      <c r="F796" s="16"/>
    </row>
    <row r="797" spans="2:6" x14ac:dyDescent="0.2">
      <c r="B797" s="16"/>
      <c r="F797" s="16"/>
    </row>
    <row r="798" spans="2:6" x14ac:dyDescent="0.2">
      <c r="B798" s="16"/>
      <c r="F798" s="16"/>
    </row>
    <row r="799" spans="2:6" x14ac:dyDescent="0.2">
      <c r="B799" s="16"/>
      <c r="F799" s="16"/>
    </row>
    <row r="800" spans="2:6" x14ac:dyDescent="0.2">
      <c r="B800" s="16"/>
      <c r="F800" s="16"/>
    </row>
    <row r="801" spans="2:6" x14ac:dyDescent="0.2">
      <c r="B801" s="16"/>
      <c r="F801" s="16"/>
    </row>
    <row r="802" spans="2:6" x14ac:dyDescent="0.2">
      <c r="B802" s="16"/>
      <c r="F802" s="16"/>
    </row>
    <row r="803" spans="2:6" x14ac:dyDescent="0.2">
      <c r="B803" s="16"/>
      <c r="F803" s="16"/>
    </row>
    <row r="804" spans="2:6" x14ac:dyDescent="0.2">
      <c r="B804" s="16"/>
      <c r="F804" s="16"/>
    </row>
  </sheetData>
  <phoneticPr fontId="7" type="noConversion"/>
  <hyperlinks>
    <hyperlink ref="P66" r:id="rId1" display="http://vsolj.cetus-net.org/no47.pdf" xr:uid="{00000000-0004-0000-0100-000000000000}"/>
    <hyperlink ref="P68" r:id="rId2" display="http://www.bav-astro.de/sfs/BAVM_link.php?BAVMnr=157" xr:uid="{00000000-0004-0000-0100-000001000000}"/>
    <hyperlink ref="P32" r:id="rId3" display="http://www.bav-astro.de/sfs/BAVM_link.php?BAVMnr=174" xr:uid="{00000000-0004-0000-0100-000002000000}"/>
    <hyperlink ref="P69" r:id="rId4" display="http://www.bav-astro.de/sfs/BAVM_link.php?BAVMnr=192" xr:uid="{00000000-0004-0000-0100-000003000000}"/>
    <hyperlink ref="P33" r:id="rId5" display="http://www.bav-astro.de/sfs/BAVM_link.php?BAVMnr=186" xr:uid="{00000000-0004-0000-0100-000004000000}"/>
    <hyperlink ref="P34" r:id="rId6" display="http://www.bav-astro.de/sfs/BAVM_link.php?BAVMnr=201" xr:uid="{00000000-0004-0000-0100-000005000000}"/>
    <hyperlink ref="P35" r:id="rId7" display="http://www.konkoly.hu/cgi-bin/IBVS?5871" xr:uid="{00000000-0004-0000-0100-000006000000}"/>
    <hyperlink ref="P36" r:id="rId8" display="http://www.bav-astro.de/sfs/BAVM_link.php?BAVMnr=220" xr:uid="{00000000-0004-0000-0100-000007000000}"/>
    <hyperlink ref="P37" r:id="rId9" display="http://www.bav-astro.de/sfs/BAVM_link.php?BAVMnr=238" xr:uid="{00000000-0004-0000-0100-000008000000}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62"/>
  <sheetViews>
    <sheetView workbookViewId="0"/>
  </sheetViews>
  <sheetFormatPr defaultRowHeight="12.75" x14ac:dyDescent="0.2"/>
  <cols>
    <col min="2" max="2" width="10.42578125" customWidth="1"/>
    <col min="5" max="5" width="10.140625" customWidth="1"/>
  </cols>
  <sheetData>
    <row r="1" spans="1:20" ht="18" x14ac:dyDescent="0.2">
      <c r="A1" s="36" t="s">
        <v>67</v>
      </c>
      <c r="B1" s="14"/>
      <c r="C1" s="14"/>
      <c r="D1" s="21" t="s">
        <v>68</v>
      </c>
      <c r="E1" s="14"/>
      <c r="F1" s="14"/>
      <c r="G1" s="14"/>
      <c r="H1" s="14"/>
      <c r="K1" s="37" t="s">
        <v>69</v>
      </c>
      <c r="L1" s="14" t="s">
        <v>70</v>
      </c>
      <c r="M1" s="14">
        <f ca="1">F18*H18-G18*G18</f>
        <v>2.6211596704588331E-4</v>
      </c>
      <c r="N1" s="14"/>
      <c r="O1" s="14"/>
      <c r="P1" s="14"/>
      <c r="Q1" s="14"/>
      <c r="R1" s="14">
        <v>1</v>
      </c>
      <c r="S1" s="14" t="s">
        <v>71</v>
      </c>
      <c r="T1" s="14"/>
    </row>
    <row r="2" spans="1:20" x14ac:dyDescent="0.2">
      <c r="A2" s="14"/>
      <c r="B2" s="14"/>
      <c r="C2" s="14"/>
      <c r="D2" s="14"/>
      <c r="E2" s="14"/>
      <c r="F2" s="14"/>
      <c r="G2" s="14"/>
      <c r="H2" s="14"/>
      <c r="K2" s="37" t="s">
        <v>72</v>
      </c>
      <c r="L2" s="14" t="s">
        <v>73</v>
      </c>
      <c r="M2" s="14">
        <f ca="1">+D18*H18-F18*G18</f>
        <v>4.9114582919641062E-3</v>
      </c>
      <c r="N2" s="14"/>
      <c r="O2" s="14"/>
      <c r="P2" s="14"/>
      <c r="Q2" s="14"/>
      <c r="R2" s="14">
        <v>2</v>
      </c>
      <c r="S2" s="14" t="s">
        <v>29</v>
      </c>
      <c r="T2" s="14"/>
    </row>
    <row r="3" spans="1:20" ht="13.5" thickBot="1" x14ac:dyDescent="0.25">
      <c r="A3" s="14" t="s">
        <v>74</v>
      </c>
      <c r="B3" s="14" t="s">
        <v>75</v>
      </c>
      <c r="C3" s="14"/>
      <c r="D3" s="14"/>
      <c r="E3" s="38" t="s">
        <v>76</v>
      </c>
      <c r="F3" s="38" t="s">
        <v>77</v>
      </c>
      <c r="G3" s="38" t="s">
        <v>78</v>
      </c>
      <c r="H3" s="38" t="s">
        <v>79</v>
      </c>
      <c r="K3" s="37" t="s">
        <v>80</v>
      </c>
      <c r="L3" s="14" t="s">
        <v>81</v>
      </c>
      <c r="M3" s="14">
        <f ca="1">+D18*G18-F18*F18</f>
        <v>1.758321783602039E-2</v>
      </c>
      <c r="N3" s="14"/>
      <c r="O3" s="14"/>
      <c r="P3" s="14"/>
      <c r="Q3" s="14"/>
      <c r="R3" s="14">
        <v>3</v>
      </c>
      <c r="S3" s="14" t="s">
        <v>82</v>
      </c>
      <c r="T3" s="14"/>
    </row>
    <row r="4" spans="1:20" x14ac:dyDescent="0.2">
      <c r="A4" s="14" t="s">
        <v>83</v>
      </c>
      <c r="B4" s="14" t="s">
        <v>84</v>
      </c>
      <c r="C4" s="14"/>
      <c r="D4" s="39" t="s">
        <v>85</v>
      </c>
      <c r="E4" s="40">
        <f ca="1">(E18*M1-I18*M2+J18*M3)/M7</f>
        <v>9.3064904200266391E-3</v>
      </c>
      <c r="F4" s="41">
        <f ca="1">+E7/M7*M18</f>
        <v>5.141444473503295E-3</v>
      </c>
      <c r="G4" s="42">
        <f>+B18</f>
        <v>1</v>
      </c>
      <c r="H4" s="43">
        <f ca="1">ABS(F4/E4)</f>
        <v>0.55245793435078594</v>
      </c>
      <c r="K4" s="37" t="s">
        <v>86</v>
      </c>
      <c r="L4" s="14" t="s">
        <v>87</v>
      </c>
      <c r="M4" s="14">
        <f ca="1">+D17*H18-F18*F18</f>
        <v>0.18567331214562882</v>
      </c>
      <c r="N4" s="14"/>
      <c r="O4" s="14"/>
      <c r="P4" s="14"/>
      <c r="Q4" s="14"/>
      <c r="R4" s="14">
        <v>4</v>
      </c>
      <c r="S4" s="14" t="s">
        <v>88</v>
      </c>
      <c r="T4" s="14"/>
    </row>
    <row r="5" spans="1:20" x14ac:dyDescent="0.2">
      <c r="A5" s="14" t="s">
        <v>89</v>
      </c>
      <c r="B5" s="44">
        <v>40323</v>
      </c>
      <c r="C5" s="14"/>
      <c r="D5" s="45" t="s">
        <v>90</v>
      </c>
      <c r="E5" s="46">
        <f ca="1">+(-E18*M2+I18*M4-J18*M5)/M7</f>
        <v>-0.72271030019813831</v>
      </c>
      <c r="F5" s="47">
        <f ca="1">N18*E7/M7</f>
        <v>0.13684002775681159</v>
      </c>
      <c r="G5" s="48">
        <f>+B18/A18</f>
        <v>1E-4</v>
      </c>
      <c r="H5" s="43">
        <f ca="1">ABS(F5/E5)</f>
        <v>0.18934284971349588</v>
      </c>
      <c r="K5" s="37" t="s">
        <v>91</v>
      </c>
      <c r="L5" s="14" t="s">
        <v>92</v>
      </c>
      <c r="M5" s="14">
        <f ca="1">+D17*G18-D18*F18</f>
        <v>0.80576850913599996</v>
      </c>
      <c r="N5" s="14"/>
      <c r="O5" s="14"/>
      <c r="P5" s="14"/>
      <c r="Q5" s="14"/>
      <c r="R5" s="14">
        <v>5</v>
      </c>
      <c r="S5" s="14" t="s">
        <v>93</v>
      </c>
      <c r="T5" s="14"/>
    </row>
    <row r="6" spans="1:20" ht="13.5" thickBot="1" x14ac:dyDescent="0.25">
      <c r="A6" s="14"/>
      <c r="B6" s="14"/>
      <c r="C6" s="14"/>
      <c r="D6" s="49" t="s">
        <v>94</v>
      </c>
      <c r="E6" s="50">
        <f ca="1">+(E18*M3-I18*M5+J18*M6)/M7</f>
        <v>1.6238369363872598</v>
      </c>
      <c r="F6" s="51">
        <f ca="1">O18*E7/M7</f>
        <v>0.62088498991021346</v>
      </c>
      <c r="G6" s="52">
        <f>+B18/A18^2</f>
        <v>1E-8</v>
      </c>
      <c r="H6" s="43">
        <f ca="1">ABS(F6/E6)</f>
        <v>0.38235673545618998</v>
      </c>
      <c r="K6" s="53" t="s">
        <v>95</v>
      </c>
      <c r="L6" s="54" t="s">
        <v>96</v>
      </c>
      <c r="M6" s="54">
        <f ca="1">+D17*F18-D18*D18</f>
        <v>3.8224824400000013</v>
      </c>
      <c r="N6" s="14"/>
      <c r="O6" s="14"/>
      <c r="P6" s="14"/>
      <c r="Q6" s="14"/>
      <c r="R6" s="14">
        <v>6</v>
      </c>
      <c r="S6" s="14" t="s">
        <v>97</v>
      </c>
      <c r="T6" s="14"/>
    </row>
    <row r="7" spans="1:20" x14ac:dyDescent="0.2">
      <c r="B7" s="14"/>
      <c r="C7" s="14"/>
      <c r="D7" s="21" t="s">
        <v>98</v>
      </c>
      <c r="E7" s="55">
        <f ca="1">SQRT(L18/(D17-3))</f>
        <v>1.5315177219171638E-2</v>
      </c>
      <c r="F7" s="14"/>
      <c r="G7" s="56">
        <f>+B22</f>
        <v>2.1718000003602356E-2</v>
      </c>
      <c r="H7" s="14"/>
      <c r="K7" s="37" t="s">
        <v>99</v>
      </c>
      <c r="L7" s="14" t="s">
        <v>100</v>
      </c>
      <c r="M7" s="14">
        <f ca="1">+D17*M1-D18*M2+F18*M3</f>
        <v>2.3257724976174111E-3</v>
      </c>
      <c r="N7" s="14"/>
      <c r="O7" s="14"/>
      <c r="P7" s="14"/>
      <c r="Q7" s="14"/>
      <c r="R7" s="14">
        <v>7</v>
      </c>
      <c r="S7" s="14" t="s">
        <v>101</v>
      </c>
      <c r="T7" s="14"/>
    </row>
    <row r="8" spans="1:20" x14ac:dyDescent="0.2">
      <c r="B8" s="14"/>
      <c r="C8" s="14"/>
      <c r="D8" s="21" t="s">
        <v>143</v>
      </c>
      <c r="E8" s="55"/>
      <c r="F8" s="68">
        <f ca="1">CORREL(E21:E45,K21:K45)</f>
        <v>0.89853904930059381</v>
      </c>
      <c r="G8" s="56"/>
      <c r="K8" s="14"/>
      <c r="L8" s="14"/>
      <c r="M8" s="14"/>
      <c r="N8" s="14"/>
      <c r="O8" s="14"/>
      <c r="P8" s="14"/>
      <c r="Q8" s="14"/>
      <c r="R8" s="14">
        <v>8</v>
      </c>
      <c r="S8" s="14" t="s">
        <v>102</v>
      </c>
      <c r="T8" s="14"/>
    </row>
    <row r="9" spans="1:20" x14ac:dyDescent="0.2">
      <c r="A9" s="14"/>
      <c r="B9" s="14"/>
      <c r="C9" s="14"/>
      <c r="D9" s="21"/>
      <c r="E9" s="69">
        <f ca="1">E6*G6</f>
        <v>1.6238369363872597E-8</v>
      </c>
      <c r="F9" s="70">
        <f ca="1">H6</f>
        <v>0.38235673545618998</v>
      </c>
      <c r="G9" s="71">
        <f ca="1">F8</f>
        <v>0.89853904930059381</v>
      </c>
      <c r="H9" s="67"/>
      <c r="K9" s="14"/>
      <c r="L9" s="14"/>
      <c r="M9" s="14"/>
      <c r="N9" s="14"/>
      <c r="O9" s="14"/>
      <c r="P9" s="14"/>
      <c r="Q9" s="14"/>
      <c r="R9" s="14">
        <v>9</v>
      </c>
      <c r="S9" s="14" t="s">
        <v>54</v>
      </c>
      <c r="T9" s="14"/>
    </row>
    <row r="10" spans="1:20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>
        <v>10</v>
      </c>
      <c r="S10" s="14" t="s">
        <v>103</v>
      </c>
      <c r="T10" s="14"/>
    </row>
    <row r="11" spans="1:20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>
        <v>11</v>
      </c>
      <c r="S11" s="14" t="s">
        <v>36</v>
      </c>
      <c r="T11" s="14"/>
    </row>
    <row r="12" spans="1:20" x14ac:dyDescent="0.2">
      <c r="A12" s="28">
        <v>21</v>
      </c>
      <c r="B12" s="14" t="s">
        <v>104</v>
      </c>
      <c r="C12" s="57">
        <v>21</v>
      </c>
      <c r="D12" s="16" t="str">
        <f>D$15&amp;$C12</f>
        <v>D21</v>
      </c>
      <c r="E12" s="16" t="str">
        <f t="shared" ref="E12:O12" si="0">E15&amp;$C12</f>
        <v>E21</v>
      </c>
      <c r="F12" s="16" t="str">
        <f t="shared" si="0"/>
        <v>F21</v>
      </c>
      <c r="G12" s="16" t="str">
        <f t="shared" si="0"/>
        <v>G21</v>
      </c>
      <c r="H12" s="16" t="str">
        <f t="shared" si="0"/>
        <v>H21</v>
      </c>
      <c r="I12" s="16" t="str">
        <f t="shared" si="0"/>
        <v>I21</v>
      </c>
      <c r="J12" s="16" t="str">
        <f t="shared" si="0"/>
        <v>J21</v>
      </c>
      <c r="K12" s="16" t="str">
        <f t="shared" si="0"/>
        <v>K21</v>
      </c>
      <c r="L12" s="16" t="str">
        <f t="shared" si="0"/>
        <v>L21</v>
      </c>
      <c r="M12" s="16" t="str">
        <f t="shared" si="0"/>
        <v>M21</v>
      </c>
      <c r="N12" s="16" t="str">
        <f t="shared" si="0"/>
        <v>N21</v>
      </c>
      <c r="O12" s="16" t="str">
        <f t="shared" si="0"/>
        <v>O21</v>
      </c>
      <c r="P12" s="14"/>
      <c r="Q12" s="14"/>
      <c r="R12" s="14">
        <v>12</v>
      </c>
      <c r="S12" s="14" t="s">
        <v>105</v>
      </c>
      <c r="T12" s="14"/>
    </row>
    <row r="13" spans="1:20" x14ac:dyDescent="0.2">
      <c r="A13" s="28">
        <f>20+COUNT(A21:A1448)</f>
        <v>45</v>
      </c>
      <c r="B13" s="14" t="s">
        <v>106</v>
      </c>
      <c r="C13" s="57">
        <v>46</v>
      </c>
      <c r="D13" s="16" t="str">
        <f>D$15&amp;$C13</f>
        <v>D46</v>
      </c>
      <c r="E13" s="16" t="str">
        <f t="shared" ref="E13:O13" si="1">E$15&amp;$C13</f>
        <v>E46</v>
      </c>
      <c r="F13" s="16" t="str">
        <f t="shared" si="1"/>
        <v>F46</v>
      </c>
      <c r="G13" s="16" t="str">
        <f t="shared" si="1"/>
        <v>G46</v>
      </c>
      <c r="H13" s="16" t="str">
        <f t="shared" si="1"/>
        <v>H46</v>
      </c>
      <c r="I13" s="16" t="str">
        <f t="shared" si="1"/>
        <v>I46</v>
      </c>
      <c r="J13" s="16" t="str">
        <f t="shared" si="1"/>
        <v>J46</v>
      </c>
      <c r="K13" s="16" t="str">
        <f t="shared" si="1"/>
        <v>K46</v>
      </c>
      <c r="L13" s="16" t="str">
        <f t="shared" si="1"/>
        <v>L46</v>
      </c>
      <c r="M13" s="16" t="str">
        <f t="shared" si="1"/>
        <v>M46</v>
      </c>
      <c r="N13" s="16" t="str">
        <f t="shared" si="1"/>
        <v>N46</v>
      </c>
      <c r="O13" s="16" t="str">
        <f t="shared" si="1"/>
        <v>O46</v>
      </c>
      <c r="P13" s="14"/>
      <c r="Q13" s="14"/>
      <c r="R13" s="14">
        <v>13</v>
      </c>
      <c r="S13" s="14" t="s">
        <v>107</v>
      </c>
      <c r="T13" s="14"/>
    </row>
    <row r="14" spans="1:20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>
        <v>14</v>
      </c>
      <c r="S14" s="14" t="s">
        <v>108</v>
      </c>
      <c r="T14" s="14"/>
    </row>
    <row r="15" spans="1:20" x14ac:dyDescent="0.2">
      <c r="A15" s="16"/>
      <c r="B15" s="14"/>
      <c r="C15" s="14"/>
      <c r="D15" s="16" t="str">
        <f t="shared" ref="D15:O15" si="2">VLOOKUP(D16,$R1:$S26,2,FALSE)</f>
        <v>D</v>
      </c>
      <c r="E15" s="16" t="str">
        <f t="shared" si="2"/>
        <v>E</v>
      </c>
      <c r="F15" s="16" t="str">
        <f t="shared" si="2"/>
        <v>F</v>
      </c>
      <c r="G15" s="16" t="str">
        <f t="shared" si="2"/>
        <v>G</v>
      </c>
      <c r="H15" s="16" t="str">
        <f t="shared" si="2"/>
        <v>H</v>
      </c>
      <c r="I15" s="16" t="str">
        <f t="shared" si="2"/>
        <v>I</v>
      </c>
      <c r="J15" s="16" t="str">
        <f t="shared" si="2"/>
        <v>J</v>
      </c>
      <c r="K15" s="16" t="str">
        <f t="shared" si="2"/>
        <v>K</v>
      </c>
      <c r="L15" s="16" t="str">
        <f t="shared" si="2"/>
        <v>L</v>
      </c>
      <c r="M15" s="16" t="str">
        <f t="shared" si="2"/>
        <v>M</v>
      </c>
      <c r="N15" s="16" t="str">
        <f t="shared" si="2"/>
        <v>N</v>
      </c>
      <c r="O15" s="16" t="str">
        <f t="shared" si="2"/>
        <v>O</v>
      </c>
      <c r="P15" s="14"/>
      <c r="Q15" s="14"/>
      <c r="R15" s="14">
        <v>15</v>
      </c>
      <c r="S15" s="14" t="s">
        <v>109</v>
      </c>
      <c r="T15" s="14"/>
    </row>
    <row r="16" spans="1:20" x14ac:dyDescent="0.2">
      <c r="A16" s="16"/>
      <c r="B16" s="14"/>
      <c r="C16" s="14"/>
      <c r="D16" s="16">
        <f>COLUMN()</f>
        <v>4</v>
      </c>
      <c r="E16" s="16">
        <f>COLUMN()</f>
        <v>5</v>
      </c>
      <c r="F16" s="16">
        <f>COLUMN()</f>
        <v>6</v>
      </c>
      <c r="G16" s="16">
        <f>COLUMN()</f>
        <v>7</v>
      </c>
      <c r="H16" s="16">
        <f>COLUMN()</f>
        <v>8</v>
      </c>
      <c r="I16" s="16">
        <f>COLUMN()</f>
        <v>9</v>
      </c>
      <c r="J16" s="16">
        <f>COLUMN()</f>
        <v>10</v>
      </c>
      <c r="K16" s="16">
        <f>COLUMN()</f>
        <v>11</v>
      </c>
      <c r="L16" s="16">
        <f>COLUMN()</f>
        <v>12</v>
      </c>
      <c r="M16" s="16">
        <f>COLUMN()</f>
        <v>13</v>
      </c>
      <c r="N16" s="16">
        <f>COLUMN()</f>
        <v>14</v>
      </c>
      <c r="O16" s="16">
        <f>COLUMN()</f>
        <v>15</v>
      </c>
      <c r="P16" s="14"/>
      <c r="Q16" s="14"/>
      <c r="R16" s="14">
        <v>16</v>
      </c>
      <c r="S16" s="14" t="s">
        <v>110</v>
      </c>
      <c r="T16" s="14"/>
    </row>
    <row r="17" spans="1:20" x14ac:dyDescent="0.2">
      <c r="A17" s="21" t="s">
        <v>111</v>
      </c>
      <c r="B17" s="14"/>
      <c r="C17" s="14" t="s">
        <v>112</v>
      </c>
      <c r="D17" s="14">
        <f>C13-C12+1</f>
        <v>26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>
        <v>17</v>
      </c>
      <c r="S17" s="14" t="s">
        <v>113</v>
      </c>
      <c r="T17" s="14"/>
    </row>
    <row r="18" spans="1:20" x14ac:dyDescent="0.2">
      <c r="A18" s="58">
        <v>10000</v>
      </c>
      <c r="B18" s="58">
        <v>1</v>
      </c>
      <c r="C18" s="14" t="s">
        <v>114</v>
      </c>
      <c r="D18" s="14">
        <f ca="1">SUM(INDIRECT(D12):INDIRECT(D13))</f>
        <v>1.9803999999999999</v>
      </c>
      <c r="E18" s="14">
        <f ca="1">SUM(INDIRECT(E12):INDIRECT(E13))</f>
        <v>-0.7056039999879431</v>
      </c>
      <c r="F18" s="14">
        <f ca="1">SUM(INDIRECT(F12):INDIRECT(F13))</f>
        <v>0.29786410000000002</v>
      </c>
      <c r="G18" s="14">
        <f ca="1">SUM(INDIRECT(G12):INDIRECT(G13))</f>
        <v>5.3679175876000004E-2</v>
      </c>
      <c r="H18" s="14">
        <f ca="1">SUM(INDIRECT(H12):INDIRECT(H13))</f>
        <v>1.05537051620938E-2</v>
      </c>
      <c r="I18" s="14">
        <f ca="1">SUM(INDIRECT(I12):INDIRECT(I13))</f>
        <v>-0.10967265099914948</v>
      </c>
      <c r="J18" s="14">
        <f ca="1">SUM(INDIRECT(J12):INDIRECT(J13))</f>
        <v>-1.8884927660663724E-2</v>
      </c>
      <c r="K18" s="14"/>
      <c r="L18" s="14">
        <f ca="1">SUM(INDIRECT(L12):INDIRECT(L13))</f>
        <v>5.3947570248565804E-3</v>
      </c>
      <c r="M18" s="14">
        <f ca="1">SQRT(SUM(INDIRECT(M12):INDIRECT(M13)))</f>
        <v>7.8078300912718822E-4</v>
      </c>
      <c r="N18" s="14">
        <f ca="1">SQRT(SUM(INDIRECT(N12):INDIRECT(N13)))</f>
        <v>2.0780613150959634E-2</v>
      </c>
      <c r="O18" s="14">
        <f ca="1">SQRT(SUM(INDIRECT(O12):INDIRECT(O13)))</f>
        <v>9.428798720715964E-2</v>
      </c>
      <c r="R18" s="14">
        <v>18</v>
      </c>
      <c r="S18" s="14" t="s">
        <v>115</v>
      </c>
      <c r="T18" s="14"/>
    </row>
    <row r="19" spans="1:20" x14ac:dyDescent="0.2">
      <c r="A19" s="59" t="s">
        <v>116</v>
      </c>
      <c r="B19" s="14"/>
      <c r="C19" s="14"/>
      <c r="D19" s="60" t="s">
        <v>117</v>
      </c>
      <c r="E19" s="60" t="s">
        <v>118</v>
      </c>
      <c r="F19" s="60" t="s">
        <v>119</v>
      </c>
      <c r="G19" s="60" t="s">
        <v>120</v>
      </c>
      <c r="H19" s="60" t="s">
        <v>121</v>
      </c>
      <c r="I19" s="60" t="s">
        <v>122</v>
      </c>
      <c r="J19" s="60" t="s">
        <v>123</v>
      </c>
      <c r="K19" s="61"/>
      <c r="L19" s="61"/>
      <c r="M19" s="61"/>
      <c r="N19" s="61"/>
      <c r="O19" s="61"/>
      <c r="P19" s="14"/>
      <c r="Q19" s="14"/>
      <c r="R19" s="14">
        <v>19</v>
      </c>
      <c r="S19" s="14" t="s">
        <v>124</v>
      </c>
      <c r="T19" s="14"/>
    </row>
    <row r="20" spans="1:20" ht="15" thickBot="1" x14ac:dyDescent="0.25">
      <c r="A20" s="7" t="s">
        <v>125</v>
      </c>
      <c r="B20" s="7" t="s">
        <v>126</v>
      </c>
      <c r="C20" s="14"/>
      <c r="D20" s="7" t="s">
        <v>125</v>
      </c>
      <c r="E20" s="7" t="s">
        <v>126</v>
      </c>
      <c r="F20" s="7" t="s">
        <v>127</v>
      </c>
      <c r="G20" s="7" t="s">
        <v>128</v>
      </c>
      <c r="H20" s="7" t="s">
        <v>129</v>
      </c>
      <c r="I20" s="7" t="s">
        <v>130</v>
      </c>
      <c r="J20" s="7" t="s">
        <v>131</v>
      </c>
      <c r="K20" s="62" t="s">
        <v>132</v>
      </c>
      <c r="L20" s="7" t="s">
        <v>133</v>
      </c>
      <c r="M20" s="7" t="s">
        <v>134</v>
      </c>
      <c r="N20" s="7" t="s">
        <v>135</v>
      </c>
      <c r="O20" s="7" t="s">
        <v>136</v>
      </c>
      <c r="P20" s="7" t="s">
        <v>137</v>
      </c>
      <c r="Q20" s="14"/>
      <c r="R20" s="14">
        <v>20</v>
      </c>
      <c r="S20" s="14" t="s">
        <v>138</v>
      </c>
      <c r="T20" s="14"/>
    </row>
    <row r="21" spans="1:20" x14ac:dyDescent="0.2">
      <c r="A21" s="63">
        <v>0</v>
      </c>
      <c r="B21" s="63">
        <v>0</v>
      </c>
      <c r="C21" s="14"/>
      <c r="D21" s="64">
        <f t="shared" ref="D21:D51" si="3">A21/A$18</f>
        <v>0</v>
      </c>
      <c r="E21" s="64">
        <f t="shared" ref="E21:E51" si="4">B21/B$18</f>
        <v>0</v>
      </c>
      <c r="F21" s="28">
        <f>D21*D21</f>
        <v>0</v>
      </c>
      <c r="G21" s="28">
        <f>D21*F21</f>
        <v>0</v>
      </c>
      <c r="H21" s="28">
        <f>F21*F21</f>
        <v>0</v>
      </c>
      <c r="I21" s="28">
        <f>E21*D21</f>
        <v>0</v>
      </c>
      <c r="J21" s="28">
        <f>I21*D21</f>
        <v>0</v>
      </c>
      <c r="K21" s="28">
        <f t="shared" ref="K21:K51" ca="1" si="5">+E$4+E$5*D21+E$6*D21^2</f>
        <v>9.3064904200266391E-3</v>
      </c>
      <c r="L21" s="28">
        <f ca="1">+(K21-E21)^2</f>
        <v>8.6610763938047613E-5</v>
      </c>
      <c r="M21" s="28">
        <f t="shared" ref="M21:M51" ca="1" si="6">(M$1-M$2*D21+M$3*F21)^2</f>
        <v>6.8704780180398577E-8</v>
      </c>
      <c r="N21" s="28">
        <f t="shared" ref="N21:N51" ca="1" si="7">(-M$2+M$4*D21-M$5*F21)^2</f>
        <v>2.4122422553702976E-5</v>
      </c>
      <c r="O21" s="28">
        <f t="shared" ref="O21:O51" ca="1" si="8">+(M$3-D21*M$5+F21*M$6)^2</f>
        <v>3.0916954946894558E-4</v>
      </c>
      <c r="P21" s="14">
        <f ca="1">+E21-K21</f>
        <v>-9.3064904200266391E-3</v>
      </c>
      <c r="Q21" s="14"/>
      <c r="R21" s="14">
        <v>21</v>
      </c>
      <c r="S21" s="14" t="s">
        <v>139</v>
      </c>
      <c r="T21" s="14"/>
    </row>
    <row r="22" spans="1:20" x14ac:dyDescent="0.2">
      <c r="A22" s="63">
        <v>-18</v>
      </c>
      <c r="B22" s="63">
        <v>2.1718000003602356E-2</v>
      </c>
      <c r="C22" s="14"/>
      <c r="D22" s="64">
        <f t="shared" si="3"/>
        <v>-1.8E-3</v>
      </c>
      <c r="E22" s="64">
        <f t="shared" si="4"/>
        <v>2.1718000003602356E-2</v>
      </c>
      <c r="F22" s="28">
        <f t="shared" ref="F22:F84" si="9">D22*D22</f>
        <v>3.2399999999999999E-6</v>
      </c>
      <c r="G22" s="28">
        <f t="shared" ref="G22:G84" si="10">D22*F22</f>
        <v>-5.8319999999999997E-9</v>
      </c>
      <c r="H22" s="28">
        <f t="shared" ref="H22:H84" si="11">F22*F22</f>
        <v>1.04976E-11</v>
      </c>
      <c r="I22" s="28">
        <f t="shared" ref="I22:I84" si="12">E22*D22</f>
        <v>-3.9092400006484239E-5</v>
      </c>
      <c r="J22" s="28">
        <f t="shared" ref="J22:J84" si="13">I22*D22</f>
        <v>7.036632001167163E-8</v>
      </c>
      <c r="K22" s="28">
        <f t="shared" ca="1" si="5"/>
        <v>1.0612630192057182E-2</v>
      </c>
      <c r="L22" s="28">
        <f t="shared" ref="L22:L84" ca="1" si="14">+(K22-E22)^2</f>
        <v>1.2332923865117888E-4</v>
      </c>
      <c r="M22" s="28">
        <f t="shared" ca="1" si="6"/>
        <v>7.3448350569603329E-8</v>
      </c>
      <c r="N22" s="28">
        <f t="shared" ca="1" si="7"/>
        <v>2.7544452865010536E-5</v>
      </c>
      <c r="O22" s="28">
        <f t="shared" ca="1" si="8"/>
        <v>3.6274958254347867E-4</v>
      </c>
      <c r="P22" s="14">
        <f t="shared" ref="P22:P84" ca="1" si="15">+E22-K22</f>
        <v>1.1105369811545173E-2</v>
      </c>
      <c r="Q22" s="14"/>
      <c r="R22" s="14">
        <v>22</v>
      </c>
      <c r="S22" s="14" t="s">
        <v>140</v>
      </c>
      <c r="T22" s="14"/>
    </row>
    <row r="23" spans="1:20" x14ac:dyDescent="0.2">
      <c r="A23" s="63">
        <v>19</v>
      </c>
      <c r="B23" s="63">
        <v>3.1000003218650818E-5</v>
      </c>
      <c r="C23" s="14"/>
      <c r="D23" s="64">
        <f t="shared" si="3"/>
        <v>1.9E-3</v>
      </c>
      <c r="E23" s="64">
        <f t="shared" si="4"/>
        <v>3.1000003218650818E-5</v>
      </c>
      <c r="F23" s="28">
        <f t="shared" si="9"/>
        <v>3.6100000000000002E-6</v>
      </c>
      <c r="G23" s="28">
        <f t="shared" si="10"/>
        <v>6.8590000000000004E-9</v>
      </c>
      <c r="H23" s="28">
        <f t="shared" si="11"/>
        <v>1.3032100000000001E-11</v>
      </c>
      <c r="I23" s="28">
        <f t="shared" si="12"/>
        <v>5.8900006115436555E-8</v>
      </c>
      <c r="J23" s="28">
        <f t="shared" si="13"/>
        <v>1.1191001161932945E-10</v>
      </c>
      <c r="K23" s="28">
        <f t="shared" ca="1" si="5"/>
        <v>7.939202900990535E-3</v>
      </c>
      <c r="L23" s="28">
        <f t="shared" ca="1" si="14"/>
        <v>6.2539673072327628E-5</v>
      </c>
      <c r="M23" s="28">
        <f t="shared" ca="1" si="6"/>
        <v>6.393194508792368E-8</v>
      </c>
      <c r="N23" s="28">
        <f t="shared" ca="1" si="7"/>
        <v>2.0808083468815713E-5</v>
      </c>
      <c r="O23" s="28">
        <f t="shared" ca="1" si="8"/>
        <v>2.5811818207347782E-4</v>
      </c>
      <c r="P23" s="14">
        <f t="shared" ca="1" si="15"/>
        <v>-7.9082028977718842E-3</v>
      </c>
      <c r="Q23" s="14"/>
      <c r="R23" s="14">
        <v>23</v>
      </c>
      <c r="S23" s="14" t="s">
        <v>141</v>
      </c>
      <c r="T23" s="14"/>
    </row>
    <row r="24" spans="1:20" x14ac:dyDescent="0.2">
      <c r="A24" s="63">
        <v>62</v>
      </c>
      <c r="B24" s="63">
        <v>-2.7362000000721309E-2</v>
      </c>
      <c r="C24" s="14"/>
      <c r="D24" s="64">
        <f t="shared" si="3"/>
        <v>6.1999999999999998E-3</v>
      </c>
      <c r="E24" s="64">
        <f t="shared" si="4"/>
        <v>-2.7362000000721309E-2</v>
      </c>
      <c r="F24" s="28">
        <f t="shared" si="9"/>
        <v>3.8439999999999998E-5</v>
      </c>
      <c r="G24" s="28">
        <f t="shared" si="10"/>
        <v>2.3832799999999999E-7</v>
      </c>
      <c r="H24" s="28">
        <f t="shared" si="11"/>
        <v>1.4776335999999999E-9</v>
      </c>
      <c r="I24" s="28">
        <f t="shared" si="12"/>
        <v>-1.6964440000447211E-4</v>
      </c>
      <c r="J24" s="28">
        <f t="shared" si="13"/>
        <v>-1.0517952800277271E-6</v>
      </c>
      <c r="K24" s="28">
        <f t="shared" ca="1" si="5"/>
        <v>4.8881068506329076E-3</v>
      </c>
      <c r="L24" s="28">
        <f t="shared" ca="1" si="14"/>
        <v>1.0400693919237643E-3</v>
      </c>
      <c r="M24" s="28">
        <f t="shared" ca="1" si="6"/>
        <v>5.3982258742965423E-8</v>
      </c>
      <c r="N24" s="28">
        <f t="shared" ca="1" si="7"/>
        <v>1.4373633417296759E-5</v>
      </c>
      <c r="O24" s="28">
        <f t="shared" ca="1" si="8"/>
        <v>1.6216467095527321E-4</v>
      </c>
      <c r="P24" s="14">
        <f t="shared" ca="1" si="15"/>
        <v>-3.2250106851354217E-2</v>
      </c>
      <c r="Q24" s="14"/>
      <c r="R24" s="14">
        <v>24</v>
      </c>
      <c r="S24" s="14" t="s">
        <v>125</v>
      </c>
      <c r="T24" s="14"/>
    </row>
    <row r="25" spans="1:20" x14ac:dyDescent="0.2">
      <c r="A25" s="63">
        <v>76</v>
      </c>
      <c r="B25" s="63">
        <v>6.3240000017685816E-3</v>
      </c>
      <c r="C25" s="14"/>
      <c r="D25" s="64">
        <f t="shared" si="3"/>
        <v>7.6E-3</v>
      </c>
      <c r="E25" s="64">
        <f t="shared" si="4"/>
        <v>6.3240000017685816E-3</v>
      </c>
      <c r="F25" s="28">
        <f t="shared" si="9"/>
        <v>5.7760000000000003E-5</v>
      </c>
      <c r="G25" s="28">
        <f t="shared" si="10"/>
        <v>4.3897600000000003E-7</v>
      </c>
      <c r="H25" s="28">
        <f t="shared" si="11"/>
        <v>3.3362176000000004E-9</v>
      </c>
      <c r="I25" s="28">
        <f t="shared" si="12"/>
        <v>4.8062400013441223E-5</v>
      </c>
      <c r="J25" s="28">
        <f t="shared" si="13"/>
        <v>3.652742401021533E-7</v>
      </c>
      <c r="K25" s="28">
        <f t="shared" ca="1" si="5"/>
        <v>3.9076849599665158E-3</v>
      </c>
      <c r="L25" s="28">
        <f t="shared" ca="1" si="14"/>
        <v>5.8385783812389189E-6</v>
      </c>
      <c r="M25" s="28">
        <f t="shared" ca="1" si="6"/>
        <v>5.0987668015393043E-8</v>
      </c>
      <c r="N25" s="28">
        <f t="shared" ca="1" si="7"/>
        <v>1.2580374112088422E-5</v>
      </c>
      <c r="O25" s="28">
        <f t="shared" ca="1" si="8"/>
        <v>1.3642622528103781E-4</v>
      </c>
      <c r="P25" s="14">
        <f t="shared" ca="1" si="15"/>
        <v>2.4163150418020658E-3</v>
      </c>
      <c r="Q25" s="14"/>
      <c r="R25" s="14">
        <v>25</v>
      </c>
      <c r="S25" s="14" t="s">
        <v>126</v>
      </c>
      <c r="T25" s="14"/>
    </row>
    <row r="26" spans="1:20" x14ac:dyDescent="0.2">
      <c r="A26" s="63">
        <v>76</v>
      </c>
      <c r="B26" s="63">
        <v>3.6324000000604428E-2</v>
      </c>
      <c r="C26" s="14"/>
      <c r="D26" s="64">
        <f t="shared" si="3"/>
        <v>7.6E-3</v>
      </c>
      <c r="E26" s="64">
        <f t="shared" si="4"/>
        <v>3.6324000000604428E-2</v>
      </c>
      <c r="F26" s="28">
        <f t="shared" si="9"/>
        <v>5.7760000000000003E-5</v>
      </c>
      <c r="G26" s="28">
        <f t="shared" si="10"/>
        <v>4.3897600000000003E-7</v>
      </c>
      <c r="H26" s="28">
        <f t="shared" si="11"/>
        <v>3.3362176000000004E-9</v>
      </c>
      <c r="I26" s="28">
        <f t="shared" si="12"/>
        <v>2.7606240000459367E-4</v>
      </c>
      <c r="J26" s="28">
        <f t="shared" si="13"/>
        <v>2.0980742400349118E-6</v>
      </c>
      <c r="K26" s="28">
        <f t="shared" ca="1" si="5"/>
        <v>3.9076849599665158E-3</v>
      </c>
      <c r="L26" s="28">
        <f t="shared" ca="1" si="14"/>
        <v>1.0508174808138877E-3</v>
      </c>
      <c r="M26" s="28">
        <f t="shared" ca="1" si="6"/>
        <v>5.0987668015393043E-8</v>
      </c>
      <c r="N26" s="28">
        <f t="shared" ca="1" si="7"/>
        <v>1.2580374112088422E-5</v>
      </c>
      <c r="O26" s="28">
        <f t="shared" ca="1" si="8"/>
        <v>1.3642622528103781E-4</v>
      </c>
      <c r="P26" s="14">
        <f t="shared" ca="1" si="15"/>
        <v>3.2416315040637911E-2</v>
      </c>
      <c r="Q26" s="14"/>
      <c r="R26" s="14">
        <v>26</v>
      </c>
      <c r="S26" s="14" t="s">
        <v>142</v>
      </c>
      <c r="T26" s="14"/>
    </row>
    <row r="27" spans="1:20" x14ac:dyDescent="0.2">
      <c r="A27" s="63">
        <v>137</v>
      </c>
      <c r="B27" s="63">
        <v>-9.1870000032940879E-3</v>
      </c>
      <c r="C27" s="14"/>
      <c r="D27" s="64">
        <f t="shared" si="3"/>
        <v>1.37E-2</v>
      </c>
      <c r="E27" s="64">
        <f t="shared" si="4"/>
        <v>-9.1870000032940879E-3</v>
      </c>
      <c r="F27" s="28">
        <f t="shared" si="9"/>
        <v>1.8769000000000001E-4</v>
      </c>
      <c r="G27" s="28">
        <f t="shared" si="10"/>
        <v>2.5713530000000002E-6</v>
      </c>
      <c r="H27" s="28">
        <f t="shared" si="11"/>
        <v>3.5227536100000002E-8</v>
      </c>
      <c r="I27" s="28">
        <f t="shared" si="12"/>
        <v>-1.2586190004512901E-4</v>
      </c>
      <c r="J27" s="28">
        <f t="shared" si="13"/>
        <v>-1.7243080306182674E-6</v>
      </c>
      <c r="K27" s="28">
        <f t="shared" ca="1" si="5"/>
        <v>-2.8986273809733065E-4</v>
      </c>
      <c r="L27" s="28">
        <f t="shared" ca="1" si="14"/>
        <v>7.9159051515752851E-5</v>
      </c>
      <c r="M27" s="28">
        <f t="shared" ca="1" si="6"/>
        <v>3.925517299838518E-8</v>
      </c>
      <c r="N27" s="28">
        <f t="shared" ca="1" si="7"/>
        <v>6.3452028432970046E-6</v>
      </c>
      <c r="O27" s="28">
        <f t="shared" ca="1" si="8"/>
        <v>5.273128463523033E-5</v>
      </c>
      <c r="P27" s="14">
        <f t="shared" ca="1" si="15"/>
        <v>-8.8971372651967581E-3</v>
      </c>
      <c r="Q27" s="14"/>
      <c r="R27" s="14"/>
      <c r="S27" s="14"/>
      <c r="T27" s="14"/>
    </row>
    <row r="28" spans="1:20" x14ac:dyDescent="0.2">
      <c r="A28" s="63">
        <v>140</v>
      </c>
      <c r="B28" s="63">
        <v>-5.5399999982910231E-3</v>
      </c>
      <c r="C28" s="14"/>
      <c r="D28" s="64">
        <f t="shared" si="3"/>
        <v>1.4E-2</v>
      </c>
      <c r="E28" s="64">
        <f t="shared" si="4"/>
        <v>-5.5399999982910231E-3</v>
      </c>
      <c r="F28" s="28">
        <f t="shared" si="9"/>
        <v>1.9600000000000002E-4</v>
      </c>
      <c r="G28" s="28">
        <f t="shared" si="10"/>
        <v>2.7440000000000003E-6</v>
      </c>
      <c r="H28" s="28">
        <f t="shared" si="11"/>
        <v>3.8416000000000011E-8</v>
      </c>
      <c r="I28" s="28">
        <f t="shared" si="12"/>
        <v>-7.7559999976074324E-5</v>
      </c>
      <c r="J28" s="28">
        <f t="shared" si="13"/>
        <v>-1.0858399996650405E-6</v>
      </c>
      <c r="K28" s="28">
        <f t="shared" ca="1" si="5"/>
        <v>-4.931817432153947E-4</v>
      </c>
      <c r="L28" s="28">
        <f t="shared" ca="1" si="14"/>
        <v>2.5470374499764616E-5</v>
      </c>
      <c r="M28" s="28">
        <f t="shared" ca="1" si="6"/>
        <v>3.8730972750576907E-8</v>
      </c>
      <c r="N28" s="28">
        <f t="shared" ca="1" si="7"/>
        <v>6.1007149969993588E-6</v>
      </c>
      <c r="O28" s="28">
        <f t="shared" ca="1" si="8"/>
        <v>4.9725983028737143E-5</v>
      </c>
      <c r="P28" s="14">
        <f t="shared" ca="1" si="15"/>
        <v>-5.0468182550756288E-3</v>
      </c>
      <c r="Q28" s="14"/>
      <c r="R28" s="14"/>
      <c r="S28" s="14"/>
      <c r="T28" s="14"/>
    </row>
    <row r="29" spans="1:20" x14ac:dyDescent="0.2">
      <c r="A29" s="63">
        <v>142</v>
      </c>
      <c r="B29" s="63">
        <v>-6.4420000053360127E-3</v>
      </c>
      <c r="C29" s="14"/>
      <c r="D29" s="64">
        <f t="shared" si="3"/>
        <v>1.4200000000000001E-2</v>
      </c>
      <c r="E29" s="64">
        <f t="shared" si="4"/>
        <v>-6.4420000053360127E-3</v>
      </c>
      <c r="F29" s="28">
        <f t="shared" si="9"/>
        <v>2.0164000000000003E-4</v>
      </c>
      <c r="G29" s="28">
        <f t="shared" si="10"/>
        <v>2.8632880000000007E-6</v>
      </c>
      <c r="H29" s="28">
        <f t="shared" si="11"/>
        <v>4.0658689600000014E-8</v>
      </c>
      <c r="I29" s="28">
        <f t="shared" si="12"/>
        <v>-9.1476400075771384E-5</v>
      </c>
      <c r="J29" s="28">
        <f t="shared" si="13"/>
        <v>-1.2989648810759538E-6</v>
      </c>
      <c r="K29" s="28">
        <f t="shared" ca="1" si="5"/>
        <v>-6.2856536293379758E-4</v>
      </c>
      <c r="L29" s="28">
        <f t="shared" ca="1" si="14"/>
        <v>3.3796022341482166E-5</v>
      </c>
      <c r="M29" s="28">
        <f t="shared" ca="1" si="6"/>
        <v>3.838415242631782E-8</v>
      </c>
      <c r="N29" s="28">
        <f t="shared" ca="1" si="7"/>
        <v>5.9407843219582324E-6</v>
      </c>
      <c r="O29" s="28">
        <f t="shared" ca="1" si="8"/>
        <v>4.7776716737495978E-5</v>
      </c>
      <c r="P29" s="14">
        <f t="shared" ca="1" si="15"/>
        <v>-5.8134346424022149E-3</v>
      </c>
      <c r="Q29" s="14"/>
      <c r="R29" s="14"/>
      <c r="S29" s="14"/>
      <c r="T29" s="14"/>
    </row>
    <row r="30" spans="1:20" x14ac:dyDescent="0.2">
      <c r="A30" s="63">
        <v>270</v>
      </c>
      <c r="B30" s="63">
        <v>9.8300000026938505E-3</v>
      </c>
      <c r="C30" s="14"/>
      <c r="D30" s="64">
        <f t="shared" si="3"/>
        <v>2.7E-2</v>
      </c>
      <c r="E30" s="64">
        <f t="shared" si="4"/>
        <v>9.8300000026938505E-3</v>
      </c>
      <c r="F30" s="28">
        <f t="shared" si="9"/>
        <v>7.2899999999999994E-4</v>
      </c>
      <c r="G30" s="28">
        <f t="shared" si="10"/>
        <v>1.9682999999999998E-5</v>
      </c>
      <c r="H30" s="28">
        <f t="shared" si="11"/>
        <v>5.3144099999999987E-7</v>
      </c>
      <c r="I30" s="28">
        <f t="shared" si="12"/>
        <v>2.6541000007273397E-4</v>
      </c>
      <c r="J30" s="28">
        <f t="shared" si="13"/>
        <v>7.1660700019638174E-6</v>
      </c>
      <c r="K30" s="28">
        <f t="shared" ca="1" si="5"/>
        <v>-9.0229105586967836E-3</v>
      </c>
      <c r="L30" s="28">
        <f t="shared" ca="1" si="14"/>
        <v>3.554322366357946E-4</v>
      </c>
      <c r="M30" s="28">
        <f t="shared" ca="1" si="6"/>
        <v>2.0256337014533958E-8</v>
      </c>
      <c r="N30" s="28">
        <f t="shared" ca="1" si="7"/>
        <v>2.3588905197915394E-7</v>
      </c>
      <c r="O30" s="28">
        <f t="shared" ca="1" si="8"/>
        <v>1.920835814703006E-6</v>
      </c>
      <c r="P30" s="14">
        <f t="shared" ca="1" si="15"/>
        <v>1.8852910561390636E-2</v>
      </c>
      <c r="Q30" s="14"/>
      <c r="R30" s="14"/>
      <c r="S30" s="14"/>
      <c r="T30" s="14"/>
    </row>
    <row r="31" spans="1:20" x14ac:dyDescent="0.2">
      <c r="A31" s="63">
        <v>482</v>
      </c>
      <c r="B31" s="63">
        <v>-1.2781999997969251E-2</v>
      </c>
      <c r="C31" s="14"/>
      <c r="D31" s="64">
        <f t="shared" si="3"/>
        <v>4.82E-2</v>
      </c>
      <c r="E31" s="64">
        <f t="shared" si="4"/>
        <v>-1.2781999997969251E-2</v>
      </c>
      <c r="F31" s="28">
        <f t="shared" si="9"/>
        <v>2.3232399999999999E-3</v>
      </c>
      <c r="G31" s="28">
        <f t="shared" si="10"/>
        <v>1.1198016799999999E-4</v>
      </c>
      <c r="H31" s="28">
        <f t="shared" si="11"/>
        <v>5.3974440975999996E-6</v>
      </c>
      <c r="I31" s="28">
        <f t="shared" si="12"/>
        <v>-6.1609239990211787E-4</v>
      </c>
      <c r="J31" s="28">
        <f t="shared" si="13"/>
        <v>-2.9695653675282081E-5</v>
      </c>
      <c r="K31" s="28">
        <f t="shared" ca="1" si="5"/>
        <v>-2.1755583125431292E-2</v>
      </c>
      <c r="L31" s="28">
        <f t="shared" ca="1" si="14"/>
        <v>8.0525194145471434E-5</v>
      </c>
      <c r="M31" s="28">
        <f t="shared" ca="1" si="6"/>
        <v>4.3869046554470572E-9</v>
      </c>
      <c r="N31" s="28">
        <f t="shared" ca="1" si="7"/>
        <v>4.691563460963606E-6</v>
      </c>
      <c r="O31" s="28">
        <f t="shared" ca="1" si="8"/>
        <v>1.5312281047873423E-4</v>
      </c>
      <c r="P31" s="14">
        <f t="shared" ca="1" si="15"/>
        <v>8.9735831274620412E-3</v>
      </c>
      <c r="Q31" s="14"/>
      <c r="R31" s="14"/>
      <c r="S31" s="14"/>
      <c r="T31" s="14"/>
    </row>
    <row r="32" spans="1:20" x14ac:dyDescent="0.2">
      <c r="A32" s="63">
        <v>539</v>
      </c>
      <c r="B32" s="63">
        <v>-1.1488999996799976E-2</v>
      </c>
      <c r="C32" s="14"/>
      <c r="D32" s="64">
        <f t="shared" si="3"/>
        <v>5.3900000000000003E-2</v>
      </c>
      <c r="E32" s="64">
        <f t="shared" si="4"/>
        <v>-1.1488999996799976E-2</v>
      </c>
      <c r="F32" s="28">
        <f t="shared" si="9"/>
        <v>2.9052100000000005E-3</v>
      </c>
      <c r="G32" s="28">
        <f t="shared" si="10"/>
        <v>1.5659081900000005E-4</v>
      </c>
      <c r="H32" s="28">
        <f t="shared" si="11"/>
        <v>8.4402451441000036E-6</v>
      </c>
      <c r="I32" s="28">
        <f t="shared" si="12"/>
        <v>-6.1925709982751877E-4</v>
      </c>
      <c r="J32" s="28">
        <f t="shared" si="13"/>
        <v>-3.3377957680703263E-5</v>
      </c>
      <c r="K32" s="28">
        <f t="shared" ca="1" si="5"/>
        <v>-2.4930007454691386E-2</v>
      </c>
      <c r="L32" s="28">
        <f t="shared" ca="1" si="14"/>
        <v>1.806606814830925E-4</v>
      </c>
      <c r="M32" s="28">
        <f t="shared" ca="1" si="6"/>
        <v>2.3494674470252296E-9</v>
      </c>
      <c r="N32" s="28">
        <f t="shared" ca="1" si="7"/>
        <v>7.5922649926872556E-6</v>
      </c>
      <c r="O32" s="28">
        <f t="shared" ca="1" si="8"/>
        <v>2.1734397750773361E-4</v>
      </c>
      <c r="P32" s="14">
        <f t="shared" ca="1" si="15"/>
        <v>1.344100745789141E-2</v>
      </c>
      <c r="Q32" s="14"/>
      <c r="R32" s="14"/>
      <c r="S32" s="14"/>
      <c r="T32" s="14"/>
    </row>
    <row r="33" spans="1:20" x14ac:dyDescent="0.2">
      <c r="A33" s="63">
        <v>584</v>
      </c>
      <c r="B33" s="63">
        <v>-2.0784000000276137E-2</v>
      </c>
      <c r="C33" s="14"/>
      <c r="D33" s="64">
        <f t="shared" si="3"/>
        <v>5.8400000000000001E-2</v>
      </c>
      <c r="E33" s="64">
        <f t="shared" si="4"/>
        <v>-2.0784000000276137E-2</v>
      </c>
      <c r="F33" s="28">
        <f t="shared" si="9"/>
        <v>3.41056E-3</v>
      </c>
      <c r="G33" s="28">
        <f t="shared" si="10"/>
        <v>1.99176704E-4</v>
      </c>
      <c r="H33" s="28">
        <f t="shared" si="11"/>
        <v>1.16319195136E-5</v>
      </c>
      <c r="I33" s="28">
        <f t="shared" si="12"/>
        <v>-1.2137856000161264E-3</v>
      </c>
      <c r="J33" s="28">
        <f t="shared" si="13"/>
        <v>-7.0885079040941784E-5</v>
      </c>
      <c r="K33" s="28">
        <f t="shared" ca="1" si="5"/>
        <v>-2.7361597809779706E-2</v>
      </c>
      <c r="L33" s="28">
        <f t="shared" ca="1" si="14"/>
        <v>4.3264792943586156E-5</v>
      </c>
      <c r="M33" s="28">
        <f t="shared" ca="1" si="6"/>
        <v>1.2429447957692509E-9</v>
      </c>
      <c r="N33" s="28">
        <f t="shared" ca="1" si="7"/>
        <v>1.0136208606883287E-5</v>
      </c>
      <c r="O33" s="28">
        <f t="shared" ca="1" si="8"/>
        <v>2.7017028075911704E-4</v>
      </c>
      <c r="P33" s="14">
        <f t="shared" ca="1" si="15"/>
        <v>6.5775978095035693E-3</v>
      </c>
      <c r="Q33" s="14"/>
      <c r="R33" s="14"/>
      <c r="S33" s="14"/>
      <c r="T33" s="14"/>
    </row>
    <row r="34" spans="1:20" x14ac:dyDescent="0.2">
      <c r="A34" s="63">
        <v>655</v>
      </c>
      <c r="B34" s="63">
        <v>-2.7804999997897539E-2</v>
      </c>
      <c r="C34" s="14"/>
      <c r="D34" s="64">
        <f t="shared" si="3"/>
        <v>6.5500000000000003E-2</v>
      </c>
      <c r="E34" s="64">
        <f t="shared" si="4"/>
        <v>-2.7804999997897539E-2</v>
      </c>
      <c r="F34" s="28">
        <f t="shared" si="9"/>
        <v>4.2902500000000007E-3</v>
      </c>
      <c r="G34" s="28">
        <f t="shared" si="10"/>
        <v>2.8101137500000003E-4</v>
      </c>
      <c r="H34" s="28">
        <f t="shared" si="11"/>
        <v>1.8406245062500006E-5</v>
      </c>
      <c r="I34" s="28">
        <f t="shared" si="12"/>
        <v>-1.8212274998622888E-3</v>
      </c>
      <c r="J34" s="28">
        <f t="shared" si="13"/>
        <v>-1.1929040124097993E-4</v>
      </c>
      <c r="K34" s="28">
        <f t="shared" ca="1" si="5"/>
        <v>-3.106436782661598E-2</v>
      </c>
      <c r="L34" s="28">
        <f t="shared" ca="1" si="14"/>
        <v>1.062347864288476E-5</v>
      </c>
      <c r="M34" s="28">
        <f t="shared" ca="1" si="6"/>
        <v>2.5128112442980024E-10</v>
      </c>
      <c r="N34" s="28">
        <f t="shared" ca="1" si="7"/>
        <v>1.438833063897269E-5</v>
      </c>
      <c r="O34" s="28">
        <f t="shared" ca="1" si="8"/>
        <v>3.5326007773272801E-4</v>
      </c>
      <c r="P34" s="14">
        <f t="shared" ca="1" si="15"/>
        <v>3.2593678287184402E-3</v>
      </c>
      <c r="Q34" s="14"/>
      <c r="R34" s="14"/>
      <c r="S34" s="14"/>
      <c r="T34" s="14"/>
    </row>
    <row r="35" spans="1:20" x14ac:dyDescent="0.2">
      <c r="A35" s="63">
        <v>844</v>
      </c>
      <c r="B35" s="63">
        <v>-1.8044000004010741E-2</v>
      </c>
      <c r="C35" s="14"/>
      <c r="D35" s="64">
        <f t="shared" si="3"/>
        <v>8.4400000000000003E-2</v>
      </c>
      <c r="E35" s="64">
        <f t="shared" si="4"/>
        <v>-1.8044000004010741E-2</v>
      </c>
      <c r="F35" s="28">
        <f t="shared" si="9"/>
        <v>7.1233600000000005E-3</v>
      </c>
      <c r="G35" s="28">
        <f t="shared" si="10"/>
        <v>6.0121158400000009E-4</v>
      </c>
      <c r="H35" s="28">
        <f t="shared" si="11"/>
        <v>5.0742257689600008E-5</v>
      </c>
      <c r="I35" s="28">
        <f t="shared" si="12"/>
        <v>-1.5229136003385066E-3</v>
      </c>
      <c r="J35" s="28">
        <f t="shared" si="13"/>
        <v>-1.2853390786856996E-4</v>
      </c>
      <c r="K35" s="28">
        <f t="shared" ca="1" si="5"/>
        <v>-4.0123083837512688E-2</v>
      </c>
      <c r="L35" s="28">
        <f t="shared" ca="1" si="14"/>
        <v>4.8748594292680707E-4</v>
      </c>
      <c r="M35" s="28">
        <f t="shared" ca="1" si="6"/>
        <v>7.3763964567020202E-10</v>
      </c>
      <c r="N35" s="28">
        <f t="shared" ca="1" si="7"/>
        <v>2.519628463034461E-5</v>
      </c>
      <c r="O35" s="28">
        <f t="shared" ca="1" si="8"/>
        <v>5.3799530592340693E-4</v>
      </c>
      <c r="P35" s="14">
        <f t="shared" ca="1" si="15"/>
        <v>2.2079083833501947E-2</v>
      </c>
      <c r="Q35" s="14"/>
      <c r="R35" s="14"/>
      <c r="S35" s="14"/>
      <c r="T35" s="14"/>
    </row>
    <row r="36" spans="1:20" x14ac:dyDescent="0.2">
      <c r="A36" s="63">
        <v>865</v>
      </c>
      <c r="B36" s="63">
        <v>-2.6515000005019829E-2</v>
      </c>
      <c r="C36" s="14"/>
      <c r="D36" s="64">
        <f t="shared" si="3"/>
        <v>8.6499999999999994E-2</v>
      </c>
      <c r="E36" s="64">
        <f t="shared" si="4"/>
        <v>-2.6515000005019829E-2</v>
      </c>
      <c r="F36" s="28">
        <f t="shared" si="9"/>
        <v>7.4822499999999993E-3</v>
      </c>
      <c r="G36" s="28">
        <f t="shared" si="10"/>
        <v>6.472146249999999E-4</v>
      </c>
      <c r="H36" s="28">
        <f t="shared" si="11"/>
        <v>5.5984065062499989E-5</v>
      </c>
      <c r="I36" s="28">
        <f t="shared" si="12"/>
        <v>-2.2935475004342148E-3</v>
      </c>
      <c r="J36" s="28">
        <f t="shared" si="13"/>
        <v>-1.9839185878755956E-4</v>
      </c>
      <c r="K36" s="28">
        <f t="shared" ca="1" si="5"/>
        <v>-4.1057996629828744E-2</v>
      </c>
      <c r="L36" s="28">
        <f t="shared" ca="1" si="14"/>
        <v>2.1149875082920351E-4</v>
      </c>
      <c r="M36" s="28">
        <f t="shared" ca="1" si="6"/>
        <v>9.7114151625747919E-10</v>
      </c>
      <c r="N36" s="28">
        <f t="shared" ca="1" si="7"/>
        <v>2.6217695142518587E-5</v>
      </c>
      <c r="O36" s="28">
        <f t="shared" ca="1" si="8"/>
        <v>5.5295470614416759E-4</v>
      </c>
      <c r="P36" s="14">
        <f t="shared" ca="1" si="15"/>
        <v>1.4542996624808915E-2</v>
      </c>
      <c r="Q36" s="14"/>
      <c r="R36" s="14"/>
      <c r="S36" s="14"/>
      <c r="T36" s="14"/>
    </row>
    <row r="37" spans="1:20" x14ac:dyDescent="0.2">
      <c r="A37" s="63">
        <v>997</v>
      </c>
      <c r="B37" s="63">
        <v>-7.2047000001475681E-2</v>
      </c>
      <c r="C37" s="14"/>
      <c r="D37" s="64">
        <f t="shared" si="3"/>
        <v>9.9699999999999997E-2</v>
      </c>
      <c r="E37" s="64">
        <f t="shared" si="4"/>
        <v>-7.2047000001475681E-2</v>
      </c>
      <c r="F37" s="28">
        <f t="shared" si="9"/>
        <v>9.9400899999999986E-3</v>
      </c>
      <c r="G37" s="28">
        <f t="shared" si="10"/>
        <v>9.910269729999999E-4</v>
      </c>
      <c r="H37" s="28">
        <f t="shared" si="11"/>
        <v>9.8805389208099967E-5</v>
      </c>
      <c r="I37" s="28">
        <f t="shared" si="12"/>
        <v>-7.1830859001471249E-3</v>
      </c>
      <c r="J37" s="28">
        <f t="shared" si="13"/>
        <v>-7.1615366424466836E-4</v>
      </c>
      <c r="K37" s="28">
        <f t="shared" ca="1" si="5"/>
        <v>-4.6606641216714116E-2</v>
      </c>
      <c r="L37" s="28">
        <f t="shared" ca="1" si="14"/>
        <v>6.4721185509739488E-4</v>
      </c>
      <c r="M37" s="28">
        <f t="shared" ca="1" si="6"/>
        <v>2.7854810660903029E-9</v>
      </c>
      <c r="N37" s="28">
        <f t="shared" ca="1" si="7"/>
        <v>3.1256590992700009E-5</v>
      </c>
      <c r="O37" s="28">
        <f t="shared" ca="1" si="8"/>
        <v>6.1286364787052139E-4</v>
      </c>
      <c r="P37" s="14">
        <f t="shared" ca="1" si="15"/>
        <v>-2.5440358784761564E-2</v>
      </c>
      <c r="Q37" s="14"/>
      <c r="R37" s="14"/>
      <c r="S37" s="14"/>
      <c r="T37" s="14"/>
    </row>
    <row r="38" spans="1:20" x14ac:dyDescent="0.2">
      <c r="A38" s="63">
        <v>1134</v>
      </c>
      <c r="B38" s="63">
        <v>-7.4833999999100342E-2</v>
      </c>
      <c r="C38" s="14"/>
      <c r="D38" s="64">
        <f t="shared" si="3"/>
        <v>0.1134</v>
      </c>
      <c r="E38" s="64">
        <f t="shared" si="4"/>
        <v>-7.4833999999100342E-2</v>
      </c>
      <c r="F38" s="28">
        <f t="shared" si="9"/>
        <v>1.2859560000000001E-2</v>
      </c>
      <c r="G38" s="28">
        <f t="shared" si="10"/>
        <v>1.4582741040000001E-3</v>
      </c>
      <c r="H38" s="28">
        <f t="shared" si="11"/>
        <v>1.6536828339360003E-4</v>
      </c>
      <c r="I38" s="28">
        <f t="shared" si="12"/>
        <v>-8.4861755998979788E-3</v>
      </c>
      <c r="J38" s="28">
        <f t="shared" si="13"/>
        <v>-9.6233231302843085E-4</v>
      </c>
      <c r="K38" s="28">
        <f t="shared" ca="1" si="5"/>
        <v>-5.1767029108754095E-2</v>
      </c>
      <c r="L38" s="28">
        <f t="shared" ca="1" si="14"/>
        <v>5.3208514605608114E-4</v>
      </c>
      <c r="M38" s="28">
        <f t="shared" ca="1" si="6"/>
        <v>4.7239446573558322E-9</v>
      </c>
      <c r="N38" s="28">
        <f t="shared" ca="1" si="7"/>
        <v>3.3432296664749232E-5</v>
      </c>
      <c r="O38" s="28">
        <f t="shared" ca="1" si="8"/>
        <v>6.0690730909858923E-4</v>
      </c>
      <c r="P38" s="14">
        <f t="shared" ca="1" si="15"/>
        <v>-2.3066970890346247E-2</v>
      </c>
      <c r="Q38" s="14"/>
      <c r="R38" s="14"/>
      <c r="S38" s="14"/>
      <c r="T38" s="14"/>
    </row>
    <row r="39" spans="1:20" x14ac:dyDescent="0.2">
      <c r="A39" s="63">
        <v>1134</v>
      </c>
      <c r="B39" s="63">
        <v>-6.4833999997063074E-2</v>
      </c>
      <c r="C39" s="14"/>
      <c r="D39" s="64">
        <f t="shared" si="3"/>
        <v>0.1134</v>
      </c>
      <c r="E39" s="64">
        <f t="shared" si="4"/>
        <v>-6.4833999997063074E-2</v>
      </c>
      <c r="F39" s="28">
        <f t="shared" si="9"/>
        <v>1.2859560000000001E-2</v>
      </c>
      <c r="G39" s="28">
        <f t="shared" si="10"/>
        <v>1.4582741040000001E-3</v>
      </c>
      <c r="H39" s="28">
        <f t="shared" si="11"/>
        <v>1.6536828339360003E-4</v>
      </c>
      <c r="I39" s="28">
        <f t="shared" si="12"/>
        <v>-7.3521755996669531E-3</v>
      </c>
      <c r="J39" s="28">
        <f t="shared" si="13"/>
        <v>-8.3373671300223252E-4</v>
      </c>
      <c r="K39" s="28">
        <f t="shared" ca="1" si="5"/>
        <v>-5.1767029108754095E-2</v>
      </c>
      <c r="L39" s="28">
        <f t="shared" ca="1" si="14"/>
        <v>1.7074572819591435E-4</v>
      </c>
      <c r="M39" s="28">
        <f t="shared" ca="1" si="6"/>
        <v>4.7239446573558322E-9</v>
      </c>
      <c r="N39" s="28">
        <f t="shared" ca="1" si="7"/>
        <v>3.3432296664749232E-5</v>
      </c>
      <c r="O39" s="28">
        <f t="shared" ca="1" si="8"/>
        <v>6.0690730909858923E-4</v>
      </c>
      <c r="P39" s="14">
        <f t="shared" ca="1" si="15"/>
        <v>-1.3066970888308979E-2</v>
      </c>
      <c r="Q39" s="14"/>
      <c r="R39" s="14"/>
      <c r="S39" s="14"/>
      <c r="T39" s="14"/>
    </row>
    <row r="40" spans="1:20" x14ac:dyDescent="0.2">
      <c r="A40" s="63">
        <v>1517</v>
      </c>
      <c r="B40" s="63">
        <v>-6.8566999994800426E-2</v>
      </c>
      <c r="C40" s="14"/>
      <c r="D40" s="64">
        <f t="shared" si="3"/>
        <v>0.1517</v>
      </c>
      <c r="E40" s="64">
        <f t="shared" si="4"/>
        <v>-6.8566999994800426E-2</v>
      </c>
      <c r="F40" s="28">
        <f t="shared" si="9"/>
        <v>2.3012890000000001E-2</v>
      </c>
      <c r="G40" s="28">
        <f t="shared" si="10"/>
        <v>3.4910554130000004E-3</v>
      </c>
      <c r="H40" s="28">
        <f t="shared" si="11"/>
        <v>5.295931061521001E-4</v>
      </c>
      <c r="I40" s="28">
        <f t="shared" si="12"/>
        <v>-1.0401613899211225E-2</v>
      </c>
      <c r="J40" s="28">
        <f t="shared" si="13"/>
        <v>-1.5779248285103429E-3</v>
      </c>
      <c r="K40" s="28">
        <f t="shared" ca="1" si="5"/>
        <v>-6.2959481325013944E-2</v>
      </c>
      <c r="L40" s="28">
        <f t="shared" ca="1" si="14"/>
        <v>3.1444265632003954E-5</v>
      </c>
      <c r="M40" s="28">
        <f t="shared" ca="1" si="6"/>
        <v>6.1327063717120304E-9</v>
      </c>
      <c r="N40" s="28">
        <f t="shared" ca="1" si="7"/>
        <v>2.2204085207507489E-5</v>
      </c>
      <c r="O40" s="28">
        <f t="shared" ca="1" si="8"/>
        <v>2.7840581284870839E-4</v>
      </c>
      <c r="P40" s="14">
        <f t="shared" ca="1" si="15"/>
        <v>-5.6075186697864821E-3</v>
      </c>
      <c r="Q40" s="14"/>
      <c r="R40" s="14"/>
      <c r="S40" s="14"/>
      <c r="T40" s="14"/>
    </row>
    <row r="41" spans="1:20" x14ac:dyDescent="0.2">
      <c r="A41" s="63">
        <v>1517</v>
      </c>
      <c r="B41" s="63">
        <v>-5.756699999619741E-2</v>
      </c>
      <c r="C41" s="14"/>
      <c r="D41" s="64">
        <f t="shared" si="3"/>
        <v>0.1517</v>
      </c>
      <c r="E41" s="64">
        <f t="shared" si="4"/>
        <v>-5.756699999619741E-2</v>
      </c>
      <c r="F41" s="28">
        <f t="shared" si="9"/>
        <v>2.3012890000000001E-2</v>
      </c>
      <c r="G41" s="28">
        <f t="shared" si="10"/>
        <v>3.4910554130000004E-3</v>
      </c>
      <c r="H41" s="28">
        <f t="shared" si="11"/>
        <v>5.295931061521001E-4</v>
      </c>
      <c r="I41" s="28">
        <f t="shared" si="12"/>
        <v>-8.7329138994231472E-3</v>
      </c>
      <c r="J41" s="28">
        <f t="shared" si="13"/>
        <v>-1.3247830385424914E-3</v>
      </c>
      <c r="K41" s="28">
        <f t="shared" ca="1" si="5"/>
        <v>-6.2959481325013944E-2</v>
      </c>
      <c r="L41" s="28">
        <f t="shared" ca="1" si="14"/>
        <v>2.9078854881634932E-5</v>
      </c>
      <c r="M41" s="28">
        <f t="shared" ca="1" si="6"/>
        <v>6.1327063717120304E-9</v>
      </c>
      <c r="N41" s="28">
        <f t="shared" ca="1" si="7"/>
        <v>2.2204085207507489E-5</v>
      </c>
      <c r="O41" s="28">
        <f t="shared" ca="1" si="8"/>
        <v>2.7840581284870839E-4</v>
      </c>
      <c r="P41" s="14">
        <f t="shared" ca="1" si="15"/>
        <v>5.3924813288165341E-3</v>
      </c>
      <c r="Q41" s="14"/>
      <c r="R41" s="14"/>
      <c r="S41" s="14"/>
      <c r="T41" s="14"/>
    </row>
    <row r="42" spans="1:20" x14ac:dyDescent="0.2">
      <c r="A42" s="63">
        <v>1909</v>
      </c>
      <c r="B42" s="63">
        <v>-7.0358999997552019E-2</v>
      </c>
      <c r="C42" s="14"/>
      <c r="D42" s="64">
        <f t="shared" si="3"/>
        <v>0.19089999999999999</v>
      </c>
      <c r="E42" s="64">
        <f t="shared" si="4"/>
        <v>-7.0358999997552019E-2</v>
      </c>
      <c r="F42" s="28">
        <f t="shared" si="9"/>
        <v>3.6442809999999992E-2</v>
      </c>
      <c r="G42" s="28">
        <f t="shared" si="10"/>
        <v>6.9569324289999977E-3</v>
      </c>
      <c r="H42" s="28">
        <f t="shared" si="11"/>
        <v>1.3280784006960995E-3</v>
      </c>
      <c r="I42" s="28">
        <f t="shared" si="12"/>
        <v>-1.343153309953268E-2</v>
      </c>
      <c r="J42" s="28">
        <f t="shared" si="13"/>
        <v>-2.5640796687007882E-3</v>
      </c>
      <c r="K42" s="28">
        <f t="shared" ca="1" si="5"/>
        <v>-6.9481724944054954E-2</v>
      </c>
      <c r="L42" s="28">
        <f t="shared" ca="1" si="14"/>
        <v>7.6961151948827773E-7</v>
      </c>
      <c r="M42" s="28">
        <f t="shared" ca="1" si="6"/>
        <v>1.2040590549721731E-9</v>
      </c>
      <c r="N42" s="28">
        <f t="shared" ca="1" si="7"/>
        <v>1.3668142503547785E-6</v>
      </c>
      <c r="O42" s="28">
        <f t="shared" ca="1" si="8"/>
        <v>9.3881617609971758E-6</v>
      </c>
      <c r="P42" s="14">
        <f t="shared" ca="1" si="15"/>
        <v>-8.7727505349706469E-4</v>
      </c>
      <c r="Q42" s="14"/>
      <c r="R42" s="14"/>
      <c r="S42" s="14"/>
      <c r="T42" s="14"/>
    </row>
    <row r="43" spans="1:20" x14ac:dyDescent="0.2">
      <c r="A43" s="63">
        <v>2185</v>
      </c>
      <c r="B43" s="63">
        <v>-6.903500000044005E-2</v>
      </c>
      <c r="C43" s="14"/>
      <c r="D43" s="64">
        <f t="shared" si="3"/>
        <v>0.2185</v>
      </c>
      <c r="E43" s="64">
        <f t="shared" si="4"/>
        <v>-6.903500000044005E-2</v>
      </c>
      <c r="F43" s="28">
        <f t="shared" si="9"/>
        <v>4.774225E-2</v>
      </c>
      <c r="G43" s="28">
        <f t="shared" si="10"/>
        <v>1.0431681625E-2</v>
      </c>
      <c r="H43" s="28">
        <f t="shared" si="11"/>
        <v>2.2793224350625002E-3</v>
      </c>
      <c r="I43" s="28">
        <f t="shared" si="12"/>
        <v>-1.5084147500096151E-2</v>
      </c>
      <c r="J43" s="28">
        <f t="shared" si="13"/>
        <v>-3.2958862287710091E-3</v>
      </c>
      <c r="K43" s="28">
        <f t="shared" ca="1" si="5"/>
        <v>-7.1080081197031922E-2</v>
      </c>
      <c r="L43" s="28">
        <f t="shared" ca="1" si="14"/>
        <v>4.1823571006536424E-6</v>
      </c>
      <c r="M43" s="28">
        <f t="shared" ca="1" si="6"/>
        <v>8.0796425134325351E-10</v>
      </c>
      <c r="N43" s="28">
        <f t="shared" ca="1" si="7"/>
        <v>7.90195259123008E-6</v>
      </c>
      <c r="O43" s="28">
        <f t="shared" ca="1" si="8"/>
        <v>5.768024005758048E-4</v>
      </c>
      <c r="P43" s="14">
        <f t="shared" ca="1" si="15"/>
        <v>2.0450811965918719E-3</v>
      </c>
      <c r="Q43" s="14"/>
      <c r="R43" s="14"/>
      <c r="S43" s="14"/>
      <c r="T43" s="14"/>
    </row>
    <row r="44" spans="1:20" x14ac:dyDescent="0.2">
      <c r="A44" s="63">
        <v>2240</v>
      </c>
      <c r="B44" s="63">
        <v>-6.8840000007185154E-2</v>
      </c>
      <c r="C44" s="14"/>
      <c r="D44" s="64">
        <f t="shared" si="3"/>
        <v>0.224</v>
      </c>
      <c r="E44" s="64">
        <f t="shared" si="4"/>
        <v>-6.8840000007185154E-2</v>
      </c>
      <c r="F44" s="28">
        <f t="shared" si="9"/>
        <v>5.0176000000000005E-2</v>
      </c>
      <c r="G44" s="28">
        <f t="shared" si="10"/>
        <v>1.1239424000000001E-2</v>
      </c>
      <c r="H44" s="28">
        <f t="shared" si="11"/>
        <v>2.5176309760000007E-3</v>
      </c>
      <c r="I44" s="28">
        <f t="shared" si="12"/>
        <v>-1.5420160001609475E-2</v>
      </c>
      <c r="J44" s="28">
        <f t="shared" si="13"/>
        <v>-3.4541158403605227E-3</v>
      </c>
      <c r="K44" s="28">
        <f t="shared" ca="1" si="5"/>
        <v>-7.1102974704189206E-2</v>
      </c>
      <c r="L44" s="28">
        <f t="shared" ca="1" si="14"/>
        <v>5.1210544792805836E-6</v>
      </c>
      <c r="M44" s="28">
        <f t="shared" ca="1" si="6"/>
        <v>1.9540685677907318E-9</v>
      </c>
      <c r="N44" s="28">
        <f t="shared" ca="1" si="7"/>
        <v>1.4069078912413291E-5</v>
      </c>
      <c r="O44" s="28">
        <f t="shared" ca="1" si="8"/>
        <v>8.3451369558765046E-4</v>
      </c>
      <c r="P44" s="14">
        <f t="shared" ca="1" si="15"/>
        <v>2.2629746970040526E-3</v>
      </c>
      <c r="Q44" s="14"/>
      <c r="R44" s="14"/>
      <c r="S44" s="14"/>
      <c r="T44" s="14"/>
    </row>
    <row r="45" spans="1:20" x14ac:dyDescent="0.2">
      <c r="A45" s="63">
        <v>2298</v>
      </c>
      <c r="B45" s="63">
        <v>-6.7797999996400904E-2</v>
      </c>
      <c r="C45" s="14"/>
      <c r="D45" s="64">
        <f t="shared" si="3"/>
        <v>0.2298</v>
      </c>
      <c r="E45" s="64">
        <f t="shared" si="4"/>
        <v>-6.7797999996400904E-2</v>
      </c>
      <c r="F45" s="28">
        <f t="shared" si="9"/>
        <v>5.2808040000000001E-2</v>
      </c>
      <c r="G45" s="28">
        <f t="shared" si="10"/>
        <v>1.2135287592000001E-2</v>
      </c>
      <c r="H45" s="28">
        <f t="shared" si="11"/>
        <v>2.7886890886416001E-3</v>
      </c>
      <c r="I45" s="28">
        <f t="shared" si="12"/>
        <v>-1.5579980399172928E-2</v>
      </c>
      <c r="J45" s="28">
        <f t="shared" si="13"/>
        <v>-3.5802794957299389E-3</v>
      </c>
      <c r="K45" s="28">
        <f t="shared" ca="1" si="5"/>
        <v>-7.1020690675289669E-2</v>
      </c>
      <c r="L45" s="28">
        <f t="shared" ca="1" si="14"/>
        <v>1.0385735211796528E-5</v>
      </c>
      <c r="M45" s="28">
        <f t="shared" ca="1" si="6"/>
        <v>3.8437671768859281E-9</v>
      </c>
      <c r="N45" s="28">
        <f t="shared" ca="1" si="7"/>
        <v>2.2989980669315295E-5</v>
      </c>
      <c r="O45" s="28">
        <f t="shared" ca="1" si="8"/>
        <v>1.1748044180536826E-3</v>
      </c>
      <c r="P45" s="14">
        <f t="shared" ca="1" si="15"/>
        <v>3.2226906788887649E-3</v>
      </c>
      <c r="Q45" s="14"/>
      <c r="R45" s="14"/>
      <c r="S45" s="14"/>
      <c r="T45" s="14"/>
    </row>
    <row r="46" spans="1:20" x14ac:dyDescent="0.2">
      <c r="A46" s="63"/>
      <c r="B46" s="63"/>
      <c r="C46" s="14"/>
      <c r="D46" s="64">
        <f t="shared" si="3"/>
        <v>0</v>
      </c>
      <c r="E46" s="64">
        <f t="shared" si="4"/>
        <v>0</v>
      </c>
      <c r="F46" s="28">
        <f t="shared" si="9"/>
        <v>0</v>
      </c>
      <c r="G46" s="28">
        <f t="shared" si="10"/>
        <v>0</v>
      </c>
      <c r="H46" s="28">
        <f t="shared" si="11"/>
        <v>0</v>
      </c>
      <c r="I46" s="28">
        <f t="shared" si="12"/>
        <v>0</v>
      </c>
      <c r="J46" s="28">
        <f t="shared" si="13"/>
        <v>0</v>
      </c>
      <c r="K46" s="28">
        <f t="shared" ca="1" si="5"/>
        <v>9.3064904200266391E-3</v>
      </c>
      <c r="L46" s="28">
        <f t="shared" ca="1" si="14"/>
        <v>8.6610763938047613E-5</v>
      </c>
      <c r="M46" s="28">
        <f t="shared" ca="1" si="6"/>
        <v>6.8704780180398577E-8</v>
      </c>
      <c r="N46" s="28">
        <f t="shared" ca="1" si="7"/>
        <v>2.4122422553702976E-5</v>
      </c>
      <c r="O46" s="28">
        <f t="shared" ca="1" si="8"/>
        <v>3.0916954946894558E-4</v>
      </c>
      <c r="P46" s="14">
        <f t="shared" ca="1" si="15"/>
        <v>-9.3064904200266391E-3</v>
      </c>
      <c r="Q46" s="14"/>
      <c r="R46" s="14"/>
      <c r="S46" s="14"/>
      <c r="T46" s="14"/>
    </row>
    <row r="47" spans="1:20" x14ac:dyDescent="0.2">
      <c r="A47" s="63"/>
      <c r="B47" s="63"/>
      <c r="C47" s="14"/>
      <c r="D47" s="64">
        <f t="shared" si="3"/>
        <v>0</v>
      </c>
      <c r="E47" s="64">
        <f t="shared" si="4"/>
        <v>0</v>
      </c>
      <c r="F47" s="28">
        <f t="shared" si="9"/>
        <v>0</v>
      </c>
      <c r="G47" s="28">
        <f t="shared" si="10"/>
        <v>0</v>
      </c>
      <c r="H47" s="28">
        <f t="shared" si="11"/>
        <v>0</v>
      </c>
      <c r="I47" s="28">
        <f t="shared" si="12"/>
        <v>0</v>
      </c>
      <c r="J47" s="28">
        <f t="shared" si="13"/>
        <v>0</v>
      </c>
      <c r="K47" s="28">
        <f t="shared" ca="1" si="5"/>
        <v>9.3064904200266391E-3</v>
      </c>
      <c r="L47" s="28">
        <f t="shared" ca="1" si="14"/>
        <v>8.6610763938047613E-5</v>
      </c>
      <c r="M47" s="28">
        <f t="shared" ca="1" si="6"/>
        <v>6.8704780180398577E-8</v>
      </c>
      <c r="N47" s="28">
        <f t="shared" ca="1" si="7"/>
        <v>2.4122422553702976E-5</v>
      </c>
      <c r="O47" s="28">
        <f t="shared" ca="1" si="8"/>
        <v>3.0916954946894558E-4</v>
      </c>
      <c r="P47" s="14">
        <f t="shared" ca="1" si="15"/>
        <v>-9.3064904200266391E-3</v>
      </c>
      <c r="Q47" s="14"/>
      <c r="R47" s="14"/>
      <c r="S47" s="14"/>
      <c r="T47" s="14"/>
    </row>
    <row r="48" spans="1:20" x14ac:dyDescent="0.2">
      <c r="A48" s="63"/>
      <c r="B48" s="63"/>
      <c r="C48" s="14"/>
      <c r="D48" s="64">
        <f t="shared" si="3"/>
        <v>0</v>
      </c>
      <c r="E48" s="64">
        <f t="shared" si="4"/>
        <v>0</v>
      </c>
      <c r="F48" s="28">
        <f t="shared" si="9"/>
        <v>0</v>
      </c>
      <c r="G48" s="28">
        <f t="shared" si="10"/>
        <v>0</v>
      </c>
      <c r="H48" s="28">
        <f t="shared" si="11"/>
        <v>0</v>
      </c>
      <c r="I48" s="28">
        <f t="shared" si="12"/>
        <v>0</v>
      </c>
      <c r="J48" s="28">
        <f t="shared" si="13"/>
        <v>0</v>
      </c>
      <c r="K48" s="28">
        <f t="shared" ca="1" si="5"/>
        <v>9.3064904200266391E-3</v>
      </c>
      <c r="L48" s="28">
        <f t="shared" ca="1" si="14"/>
        <v>8.6610763938047613E-5</v>
      </c>
      <c r="M48" s="28">
        <f t="shared" ca="1" si="6"/>
        <v>6.8704780180398577E-8</v>
      </c>
      <c r="N48" s="28">
        <f t="shared" ca="1" si="7"/>
        <v>2.4122422553702976E-5</v>
      </c>
      <c r="O48" s="28">
        <f t="shared" ca="1" si="8"/>
        <v>3.0916954946894558E-4</v>
      </c>
      <c r="P48" s="14">
        <f t="shared" ca="1" si="15"/>
        <v>-9.3064904200266391E-3</v>
      </c>
      <c r="Q48" s="14"/>
      <c r="R48" s="14"/>
      <c r="S48" s="14"/>
      <c r="T48" s="14"/>
    </row>
    <row r="49" spans="1:20" x14ac:dyDescent="0.2">
      <c r="A49" s="63"/>
      <c r="B49" s="63"/>
      <c r="C49" s="14"/>
      <c r="D49" s="64">
        <f t="shared" si="3"/>
        <v>0</v>
      </c>
      <c r="E49" s="64">
        <f t="shared" si="4"/>
        <v>0</v>
      </c>
      <c r="F49" s="28">
        <f t="shared" si="9"/>
        <v>0</v>
      </c>
      <c r="G49" s="28">
        <f t="shared" si="10"/>
        <v>0</v>
      </c>
      <c r="H49" s="28">
        <f t="shared" si="11"/>
        <v>0</v>
      </c>
      <c r="I49" s="28">
        <f t="shared" si="12"/>
        <v>0</v>
      </c>
      <c r="J49" s="28">
        <f t="shared" si="13"/>
        <v>0</v>
      </c>
      <c r="K49" s="28">
        <f t="shared" ca="1" si="5"/>
        <v>9.3064904200266391E-3</v>
      </c>
      <c r="L49" s="28">
        <f t="shared" ca="1" si="14"/>
        <v>8.6610763938047613E-5</v>
      </c>
      <c r="M49" s="28">
        <f t="shared" ca="1" si="6"/>
        <v>6.8704780180398577E-8</v>
      </c>
      <c r="N49" s="28">
        <f t="shared" ca="1" si="7"/>
        <v>2.4122422553702976E-5</v>
      </c>
      <c r="O49" s="28">
        <f t="shared" ca="1" si="8"/>
        <v>3.0916954946894558E-4</v>
      </c>
      <c r="P49" s="14">
        <f t="shared" ca="1" si="15"/>
        <v>-9.3064904200266391E-3</v>
      </c>
      <c r="Q49" s="14"/>
      <c r="R49" s="14"/>
      <c r="S49" s="14"/>
      <c r="T49" s="14"/>
    </row>
    <row r="50" spans="1:20" x14ac:dyDescent="0.2">
      <c r="A50" s="63"/>
      <c r="B50" s="63"/>
      <c r="C50" s="14"/>
      <c r="D50" s="64">
        <f t="shared" si="3"/>
        <v>0</v>
      </c>
      <c r="E50" s="64">
        <f t="shared" si="4"/>
        <v>0</v>
      </c>
      <c r="F50" s="28">
        <f t="shared" si="9"/>
        <v>0</v>
      </c>
      <c r="G50" s="28">
        <f t="shared" si="10"/>
        <v>0</v>
      </c>
      <c r="H50" s="28">
        <f t="shared" si="11"/>
        <v>0</v>
      </c>
      <c r="I50" s="28">
        <f t="shared" si="12"/>
        <v>0</v>
      </c>
      <c r="J50" s="28">
        <f t="shared" si="13"/>
        <v>0</v>
      </c>
      <c r="K50" s="28">
        <f t="shared" ca="1" si="5"/>
        <v>9.3064904200266391E-3</v>
      </c>
      <c r="L50" s="28">
        <f t="shared" ca="1" si="14"/>
        <v>8.6610763938047613E-5</v>
      </c>
      <c r="M50" s="28">
        <f t="shared" ca="1" si="6"/>
        <v>6.8704780180398577E-8</v>
      </c>
      <c r="N50" s="28">
        <f t="shared" ca="1" si="7"/>
        <v>2.4122422553702976E-5</v>
      </c>
      <c r="O50" s="28">
        <f t="shared" ca="1" si="8"/>
        <v>3.0916954946894558E-4</v>
      </c>
      <c r="P50" s="14">
        <f t="shared" ca="1" si="15"/>
        <v>-9.3064904200266391E-3</v>
      </c>
      <c r="Q50" s="14"/>
      <c r="R50" s="14"/>
      <c r="S50" s="14"/>
      <c r="T50" s="14"/>
    </row>
    <row r="51" spans="1:20" x14ac:dyDescent="0.2">
      <c r="A51" s="63"/>
      <c r="B51" s="63"/>
      <c r="C51" s="14"/>
      <c r="D51" s="64">
        <f t="shared" si="3"/>
        <v>0</v>
      </c>
      <c r="E51" s="64">
        <f t="shared" si="4"/>
        <v>0</v>
      </c>
      <c r="F51" s="28">
        <f t="shared" si="9"/>
        <v>0</v>
      </c>
      <c r="G51" s="28">
        <f t="shared" si="10"/>
        <v>0</v>
      </c>
      <c r="H51" s="28">
        <f t="shared" si="11"/>
        <v>0</v>
      </c>
      <c r="I51" s="28">
        <f t="shared" si="12"/>
        <v>0</v>
      </c>
      <c r="J51" s="28">
        <f t="shared" si="13"/>
        <v>0</v>
      </c>
      <c r="K51" s="28">
        <f t="shared" ca="1" si="5"/>
        <v>9.3064904200266391E-3</v>
      </c>
      <c r="L51" s="28">
        <f t="shared" ca="1" si="14"/>
        <v>8.6610763938047613E-5</v>
      </c>
      <c r="M51" s="28">
        <f t="shared" ca="1" si="6"/>
        <v>6.8704780180398577E-8</v>
      </c>
      <c r="N51" s="28">
        <f t="shared" ca="1" si="7"/>
        <v>2.4122422553702976E-5</v>
      </c>
      <c r="O51" s="28">
        <f t="shared" ca="1" si="8"/>
        <v>3.0916954946894558E-4</v>
      </c>
      <c r="P51" s="14">
        <f t="shared" ca="1" si="15"/>
        <v>-9.3064904200266391E-3</v>
      </c>
      <c r="Q51" s="14"/>
      <c r="R51" s="14"/>
      <c r="S51" s="14"/>
      <c r="T51" s="14"/>
    </row>
    <row r="52" spans="1:20" x14ac:dyDescent="0.2">
      <c r="A52" s="63"/>
      <c r="B52" s="63"/>
      <c r="C52" s="14"/>
      <c r="D52" s="64">
        <f t="shared" ref="D52:D83" si="16">A52/A$18</f>
        <v>0</v>
      </c>
      <c r="E52" s="64">
        <f t="shared" ref="E52:E83" si="17">B52/B$18</f>
        <v>0</v>
      </c>
      <c r="F52" s="28">
        <f t="shared" si="9"/>
        <v>0</v>
      </c>
      <c r="G52" s="28">
        <f t="shared" si="10"/>
        <v>0</v>
      </c>
      <c r="H52" s="28">
        <f t="shared" si="11"/>
        <v>0</v>
      </c>
      <c r="I52" s="28">
        <f t="shared" si="12"/>
        <v>0</v>
      </c>
      <c r="J52" s="28">
        <f t="shared" si="13"/>
        <v>0</v>
      </c>
      <c r="K52" s="28">
        <f t="shared" ref="K52:K83" ca="1" si="18">+E$4+E$5*D52+E$6*D52^2</f>
        <v>9.3064904200266391E-3</v>
      </c>
      <c r="L52" s="28">
        <f t="shared" ca="1" si="14"/>
        <v>8.6610763938047613E-5</v>
      </c>
      <c r="M52" s="28">
        <f t="shared" ref="M52:M83" ca="1" si="19">(M$1-M$2*D52+M$3*F52)^2</f>
        <v>6.8704780180398577E-8</v>
      </c>
      <c r="N52" s="28">
        <f t="shared" ref="N52:N83" ca="1" si="20">(-M$2+M$4*D52-M$5*F52)^2</f>
        <v>2.4122422553702976E-5</v>
      </c>
      <c r="O52" s="28">
        <f t="shared" ref="O52:O83" ca="1" si="21">+(M$3-D52*M$5+F52*M$6)^2</f>
        <v>3.0916954946894558E-4</v>
      </c>
      <c r="P52" s="14">
        <f t="shared" ca="1" si="15"/>
        <v>-9.3064904200266391E-3</v>
      </c>
      <c r="Q52" s="14"/>
      <c r="R52" s="14"/>
      <c r="S52" s="14"/>
      <c r="T52" s="14"/>
    </row>
    <row r="53" spans="1:20" x14ac:dyDescent="0.2">
      <c r="A53" s="63"/>
      <c r="B53" s="63"/>
      <c r="C53" s="14"/>
      <c r="D53" s="64">
        <f t="shared" si="16"/>
        <v>0</v>
      </c>
      <c r="E53" s="64">
        <f t="shared" si="17"/>
        <v>0</v>
      </c>
      <c r="F53" s="28">
        <f t="shared" si="9"/>
        <v>0</v>
      </c>
      <c r="G53" s="28">
        <f t="shared" si="10"/>
        <v>0</v>
      </c>
      <c r="H53" s="28">
        <f t="shared" si="11"/>
        <v>0</v>
      </c>
      <c r="I53" s="28">
        <f t="shared" si="12"/>
        <v>0</v>
      </c>
      <c r="J53" s="28">
        <f t="shared" si="13"/>
        <v>0</v>
      </c>
      <c r="K53" s="28">
        <f t="shared" ca="1" si="18"/>
        <v>9.3064904200266391E-3</v>
      </c>
      <c r="L53" s="28">
        <f t="shared" ca="1" si="14"/>
        <v>8.6610763938047613E-5</v>
      </c>
      <c r="M53" s="28">
        <f t="shared" ca="1" si="19"/>
        <v>6.8704780180398577E-8</v>
      </c>
      <c r="N53" s="28">
        <f t="shared" ca="1" si="20"/>
        <v>2.4122422553702976E-5</v>
      </c>
      <c r="O53" s="28">
        <f t="shared" ca="1" si="21"/>
        <v>3.0916954946894558E-4</v>
      </c>
      <c r="P53" s="14">
        <f t="shared" ca="1" si="15"/>
        <v>-9.3064904200266391E-3</v>
      </c>
      <c r="Q53" s="14"/>
      <c r="R53" s="14"/>
      <c r="S53" s="14"/>
      <c r="T53" s="14"/>
    </row>
    <row r="54" spans="1:20" x14ac:dyDescent="0.2">
      <c r="A54" s="63"/>
      <c r="B54" s="63"/>
      <c r="C54" s="14"/>
      <c r="D54" s="64">
        <f t="shared" si="16"/>
        <v>0</v>
      </c>
      <c r="E54" s="64">
        <f t="shared" si="17"/>
        <v>0</v>
      </c>
      <c r="F54" s="28">
        <f t="shared" si="9"/>
        <v>0</v>
      </c>
      <c r="G54" s="28">
        <f t="shared" si="10"/>
        <v>0</v>
      </c>
      <c r="H54" s="28">
        <f t="shared" si="11"/>
        <v>0</v>
      </c>
      <c r="I54" s="28">
        <f t="shared" si="12"/>
        <v>0</v>
      </c>
      <c r="J54" s="28">
        <f t="shared" si="13"/>
        <v>0</v>
      </c>
      <c r="K54" s="28">
        <f t="shared" ca="1" si="18"/>
        <v>9.3064904200266391E-3</v>
      </c>
      <c r="L54" s="28">
        <f t="shared" ca="1" si="14"/>
        <v>8.6610763938047613E-5</v>
      </c>
      <c r="M54" s="28">
        <f t="shared" ca="1" si="19"/>
        <v>6.8704780180398577E-8</v>
      </c>
      <c r="N54" s="28">
        <f t="shared" ca="1" si="20"/>
        <v>2.4122422553702976E-5</v>
      </c>
      <c r="O54" s="28">
        <f t="shared" ca="1" si="21"/>
        <v>3.0916954946894558E-4</v>
      </c>
      <c r="P54" s="14">
        <f t="shared" ca="1" si="15"/>
        <v>-9.3064904200266391E-3</v>
      </c>
      <c r="Q54" s="14"/>
      <c r="R54" s="14"/>
      <c r="S54" s="14"/>
      <c r="T54" s="14"/>
    </row>
    <row r="55" spans="1:20" x14ac:dyDescent="0.2">
      <c r="A55" s="63"/>
      <c r="B55" s="63"/>
      <c r="C55" s="14"/>
      <c r="D55" s="64">
        <f t="shared" si="16"/>
        <v>0</v>
      </c>
      <c r="E55" s="64">
        <f t="shared" si="17"/>
        <v>0</v>
      </c>
      <c r="F55" s="28">
        <f t="shared" si="9"/>
        <v>0</v>
      </c>
      <c r="G55" s="28">
        <f t="shared" si="10"/>
        <v>0</v>
      </c>
      <c r="H55" s="28">
        <f t="shared" si="11"/>
        <v>0</v>
      </c>
      <c r="I55" s="28">
        <f t="shared" si="12"/>
        <v>0</v>
      </c>
      <c r="J55" s="28">
        <f t="shared" si="13"/>
        <v>0</v>
      </c>
      <c r="K55" s="28">
        <f t="shared" ca="1" si="18"/>
        <v>9.3064904200266391E-3</v>
      </c>
      <c r="L55" s="28">
        <f t="shared" ca="1" si="14"/>
        <v>8.6610763938047613E-5</v>
      </c>
      <c r="M55" s="28">
        <f t="shared" ca="1" si="19"/>
        <v>6.8704780180398577E-8</v>
      </c>
      <c r="N55" s="28">
        <f t="shared" ca="1" si="20"/>
        <v>2.4122422553702976E-5</v>
      </c>
      <c r="O55" s="28">
        <f t="shared" ca="1" si="21"/>
        <v>3.0916954946894558E-4</v>
      </c>
      <c r="P55" s="14">
        <f t="shared" ca="1" si="15"/>
        <v>-9.3064904200266391E-3</v>
      </c>
      <c r="Q55" s="14"/>
      <c r="R55" s="14"/>
      <c r="S55" s="14"/>
      <c r="T55" s="14"/>
    </row>
    <row r="56" spans="1:20" x14ac:dyDescent="0.2">
      <c r="A56" s="63"/>
      <c r="B56" s="63"/>
      <c r="C56" s="14"/>
      <c r="D56" s="64">
        <f t="shared" si="16"/>
        <v>0</v>
      </c>
      <c r="E56" s="64">
        <f t="shared" si="17"/>
        <v>0</v>
      </c>
      <c r="F56" s="28">
        <f t="shared" si="9"/>
        <v>0</v>
      </c>
      <c r="G56" s="28">
        <f t="shared" si="10"/>
        <v>0</v>
      </c>
      <c r="H56" s="28">
        <f t="shared" si="11"/>
        <v>0</v>
      </c>
      <c r="I56" s="28">
        <f t="shared" si="12"/>
        <v>0</v>
      </c>
      <c r="J56" s="28">
        <f t="shared" si="13"/>
        <v>0</v>
      </c>
      <c r="K56" s="28">
        <f t="shared" ca="1" si="18"/>
        <v>9.3064904200266391E-3</v>
      </c>
      <c r="L56" s="28">
        <f t="shared" ca="1" si="14"/>
        <v>8.6610763938047613E-5</v>
      </c>
      <c r="M56" s="28">
        <f t="shared" ca="1" si="19"/>
        <v>6.8704780180398577E-8</v>
      </c>
      <c r="N56" s="28">
        <f t="shared" ca="1" si="20"/>
        <v>2.4122422553702976E-5</v>
      </c>
      <c r="O56" s="28">
        <f t="shared" ca="1" si="21"/>
        <v>3.0916954946894558E-4</v>
      </c>
      <c r="P56" s="14">
        <f t="shared" ca="1" si="15"/>
        <v>-9.3064904200266391E-3</v>
      </c>
      <c r="Q56" s="14"/>
      <c r="R56" s="14"/>
      <c r="S56" s="14"/>
      <c r="T56" s="14"/>
    </row>
    <row r="57" spans="1:20" x14ac:dyDescent="0.2">
      <c r="A57" s="63"/>
      <c r="B57" s="63"/>
      <c r="C57" s="14"/>
      <c r="D57" s="64">
        <f t="shared" si="16"/>
        <v>0</v>
      </c>
      <c r="E57" s="64">
        <f t="shared" si="17"/>
        <v>0</v>
      </c>
      <c r="F57" s="28">
        <f t="shared" si="9"/>
        <v>0</v>
      </c>
      <c r="G57" s="28">
        <f t="shared" si="10"/>
        <v>0</v>
      </c>
      <c r="H57" s="28">
        <f t="shared" si="11"/>
        <v>0</v>
      </c>
      <c r="I57" s="28">
        <f t="shared" si="12"/>
        <v>0</v>
      </c>
      <c r="J57" s="28">
        <f t="shared" si="13"/>
        <v>0</v>
      </c>
      <c r="K57" s="28">
        <f t="shared" ca="1" si="18"/>
        <v>9.3064904200266391E-3</v>
      </c>
      <c r="L57" s="28">
        <f t="shared" ca="1" si="14"/>
        <v>8.6610763938047613E-5</v>
      </c>
      <c r="M57" s="28">
        <f t="shared" ca="1" si="19"/>
        <v>6.8704780180398577E-8</v>
      </c>
      <c r="N57" s="28">
        <f t="shared" ca="1" si="20"/>
        <v>2.4122422553702976E-5</v>
      </c>
      <c r="O57" s="28">
        <f t="shared" ca="1" si="21"/>
        <v>3.0916954946894558E-4</v>
      </c>
      <c r="P57" s="14">
        <f t="shared" ca="1" si="15"/>
        <v>-9.3064904200266391E-3</v>
      </c>
      <c r="Q57" s="14"/>
      <c r="R57" s="14"/>
      <c r="S57" s="14"/>
      <c r="T57" s="14"/>
    </row>
    <row r="58" spans="1:20" x14ac:dyDescent="0.2">
      <c r="A58" s="63"/>
      <c r="B58" s="63"/>
      <c r="C58" s="14"/>
      <c r="D58" s="64">
        <f t="shared" si="16"/>
        <v>0</v>
      </c>
      <c r="E58" s="64">
        <f t="shared" si="17"/>
        <v>0</v>
      </c>
      <c r="F58" s="28">
        <f t="shared" si="9"/>
        <v>0</v>
      </c>
      <c r="G58" s="28">
        <f t="shared" si="10"/>
        <v>0</v>
      </c>
      <c r="H58" s="28">
        <f t="shared" si="11"/>
        <v>0</v>
      </c>
      <c r="I58" s="28">
        <f t="shared" si="12"/>
        <v>0</v>
      </c>
      <c r="J58" s="28">
        <f t="shared" si="13"/>
        <v>0</v>
      </c>
      <c r="K58" s="28">
        <f t="shared" ca="1" si="18"/>
        <v>9.3064904200266391E-3</v>
      </c>
      <c r="L58" s="28">
        <f t="shared" ca="1" si="14"/>
        <v>8.6610763938047613E-5</v>
      </c>
      <c r="M58" s="28">
        <f t="shared" ca="1" si="19"/>
        <v>6.8704780180398577E-8</v>
      </c>
      <c r="N58" s="28">
        <f t="shared" ca="1" si="20"/>
        <v>2.4122422553702976E-5</v>
      </c>
      <c r="O58" s="28">
        <f t="shared" ca="1" si="21"/>
        <v>3.0916954946894558E-4</v>
      </c>
      <c r="P58" s="14">
        <f t="shared" ca="1" si="15"/>
        <v>-9.3064904200266391E-3</v>
      </c>
      <c r="Q58" s="14"/>
      <c r="R58" s="14"/>
      <c r="S58" s="14"/>
      <c r="T58" s="14"/>
    </row>
    <row r="59" spans="1:20" x14ac:dyDescent="0.2">
      <c r="A59" s="63"/>
      <c r="B59" s="63"/>
      <c r="C59" s="14"/>
      <c r="D59" s="64">
        <f t="shared" si="16"/>
        <v>0</v>
      </c>
      <c r="E59" s="64">
        <f t="shared" si="17"/>
        <v>0</v>
      </c>
      <c r="F59" s="28">
        <f t="shared" si="9"/>
        <v>0</v>
      </c>
      <c r="G59" s="28">
        <f t="shared" si="10"/>
        <v>0</v>
      </c>
      <c r="H59" s="28">
        <f t="shared" si="11"/>
        <v>0</v>
      </c>
      <c r="I59" s="28">
        <f t="shared" si="12"/>
        <v>0</v>
      </c>
      <c r="J59" s="28">
        <f t="shared" si="13"/>
        <v>0</v>
      </c>
      <c r="K59" s="28">
        <f t="shared" ca="1" si="18"/>
        <v>9.3064904200266391E-3</v>
      </c>
      <c r="L59" s="28">
        <f t="shared" ca="1" si="14"/>
        <v>8.6610763938047613E-5</v>
      </c>
      <c r="M59" s="28">
        <f t="shared" ca="1" si="19"/>
        <v>6.8704780180398577E-8</v>
      </c>
      <c r="N59" s="28">
        <f t="shared" ca="1" si="20"/>
        <v>2.4122422553702976E-5</v>
      </c>
      <c r="O59" s="28">
        <f t="shared" ca="1" si="21"/>
        <v>3.0916954946894558E-4</v>
      </c>
      <c r="P59" s="14">
        <f t="shared" ca="1" si="15"/>
        <v>-9.3064904200266391E-3</v>
      </c>
      <c r="Q59" s="14"/>
      <c r="R59" s="14"/>
      <c r="S59" s="14"/>
      <c r="T59" s="14"/>
    </row>
    <row r="60" spans="1:20" x14ac:dyDescent="0.2">
      <c r="A60" s="63"/>
      <c r="B60" s="63"/>
      <c r="C60" s="14"/>
      <c r="D60" s="64">
        <f t="shared" si="16"/>
        <v>0</v>
      </c>
      <c r="E60" s="64">
        <f t="shared" si="17"/>
        <v>0</v>
      </c>
      <c r="F60" s="28">
        <f t="shared" si="9"/>
        <v>0</v>
      </c>
      <c r="G60" s="28">
        <f t="shared" si="10"/>
        <v>0</v>
      </c>
      <c r="H60" s="28">
        <f t="shared" si="11"/>
        <v>0</v>
      </c>
      <c r="I60" s="28">
        <f t="shared" si="12"/>
        <v>0</v>
      </c>
      <c r="J60" s="28">
        <f t="shared" si="13"/>
        <v>0</v>
      </c>
      <c r="K60" s="28">
        <f t="shared" ca="1" si="18"/>
        <v>9.3064904200266391E-3</v>
      </c>
      <c r="L60" s="28">
        <f t="shared" ca="1" si="14"/>
        <v>8.6610763938047613E-5</v>
      </c>
      <c r="M60" s="28">
        <f t="shared" ca="1" si="19"/>
        <v>6.8704780180398577E-8</v>
      </c>
      <c r="N60" s="28">
        <f t="shared" ca="1" si="20"/>
        <v>2.4122422553702976E-5</v>
      </c>
      <c r="O60" s="28">
        <f t="shared" ca="1" si="21"/>
        <v>3.0916954946894558E-4</v>
      </c>
      <c r="P60" s="14">
        <f t="shared" ca="1" si="15"/>
        <v>-9.3064904200266391E-3</v>
      </c>
      <c r="Q60" s="14"/>
      <c r="R60" s="14"/>
      <c r="S60" s="14"/>
      <c r="T60" s="14"/>
    </row>
    <row r="61" spans="1:20" x14ac:dyDescent="0.2">
      <c r="A61" s="63"/>
      <c r="B61" s="63"/>
      <c r="C61" s="14"/>
      <c r="D61" s="64">
        <f t="shared" si="16"/>
        <v>0</v>
      </c>
      <c r="E61" s="64">
        <f t="shared" si="17"/>
        <v>0</v>
      </c>
      <c r="F61" s="28">
        <f t="shared" si="9"/>
        <v>0</v>
      </c>
      <c r="G61" s="28">
        <f t="shared" si="10"/>
        <v>0</v>
      </c>
      <c r="H61" s="28">
        <f t="shared" si="11"/>
        <v>0</v>
      </c>
      <c r="I61" s="28">
        <f t="shared" si="12"/>
        <v>0</v>
      </c>
      <c r="J61" s="28">
        <f t="shared" si="13"/>
        <v>0</v>
      </c>
      <c r="K61" s="28">
        <f t="shared" ca="1" si="18"/>
        <v>9.3064904200266391E-3</v>
      </c>
      <c r="L61" s="28">
        <f t="shared" ca="1" si="14"/>
        <v>8.6610763938047613E-5</v>
      </c>
      <c r="M61" s="28">
        <f t="shared" ca="1" si="19"/>
        <v>6.8704780180398577E-8</v>
      </c>
      <c r="N61" s="28">
        <f t="shared" ca="1" si="20"/>
        <v>2.4122422553702976E-5</v>
      </c>
      <c r="O61" s="28">
        <f t="shared" ca="1" si="21"/>
        <v>3.0916954946894558E-4</v>
      </c>
      <c r="P61" s="14">
        <f t="shared" ca="1" si="15"/>
        <v>-9.3064904200266391E-3</v>
      </c>
      <c r="Q61" s="14"/>
      <c r="R61" s="14"/>
      <c r="S61" s="14"/>
      <c r="T61" s="14"/>
    </row>
    <row r="62" spans="1:20" x14ac:dyDescent="0.2">
      <c r="A62" s="63"/>
      <c r="B62" s="63"/>
      <c r="C62" s="14"/>
      <c r="D62" s="64">
        <f t="shared" si="16"/>
        <v>0</v>
      </c>
      <c r="E62" s="64">
        <f t="shared" si="17"/>
        <v>0</v>
      </c>
      <c r="F62" s="28">
        <f t="shared" si="9"/>
        <v>0</v>
      </c>
      <c r="G62" s="28">
        <f t="shared" si="10"/>
        <v>0</v>
      </c>
      <c r="H62" s="28">
        <f t="shared" si="11"/>
        <v>0</v>
      </c>
      <c r="I62" s="28">
        <f t="shared" si="12"/>
        <v>0</v>
      </c>
      <c r="J62" s="28">
        <f t="shared" si="13"/>
        <v>0</v>
      </c>
      <c r="K62" s="28">
        <f t="shared" ca="1" si="18"/>
        <v>9.3064904200266391E-3</v>
      </c>
      <c r="L62" s="28">
        <f t="shared" ca="1" si="14"/>
        <v>8.6610763938047613E-5</v>
      </c>
      <c r="M62" s="28">
        <f t="shared" ca="1" si="19"/>
        <v>6.8704780180398577E-8</v>
      </c>
      <c r="N62" s="28">
        <f t="shared" ca="1" si="20"/>
        <v>2.4122422553702976E-5</v>
      </c>
      <c r="O62" s="28">
        <f t="shared" ca="1" si="21"/>
        <v>3.0916954946894558E-4</v>
      </c>
      <c r="P62" s="14">
        <f t="shared" ca="1" si="15"/>
        <v>-9.3064904200266391E-3</v>
      </c>
      <c r="Q62" s="14"/>
      <c r="R62" s="14"/>
      <c r="S62" s="14"/>
      <c r="T62" s="14"/>
    </row>
    <row r="63" spans="1:20" x14ac:dyDescent="0.2">
      <c r="A63" s="63"/>
      <c r="B63" s="63"/>
      <c r="C63" s="14"/>
      <c r="D63" s="64">
        <f t="shared" si="16"/>
        <v>0</v>
      </c>
      <c r="E63" s="64">
        <f t="shared" si="17"/>
        <v>0</v>
      </c>
      <c r="F63" s="28">
        <f t="shared" si="9"/>
        <v>0</v>
      </c>
      <c r="G63" s="28">
        <f t="shared" si="10"/>
        <v>0</v>
      </c>
      <c r="H63" s="28">
        <f t="shared" si="11"/>
        <v>0</v>
      </c>
      <c r="I63" s="28">
        <f t="shared" si="12"/>
        <v>0</v>
      </c>
      <c r="J63" s="28">
        <f t="shared" si="13"/>
        <v>0</v>
      </c>
      <c r="K63" s="28">
        <f t="shared" ca="1" si="18"/>
        <v>9.3064904200266391E-3</v>
      </c>
      <c r="L63" s="28">
        <f t="shared" ca="1" si="14"/>
        <v>8.6610763938047613E-5</v>
      </c>
      <c r="M63" s="28">
        <f t="shared" ca="1" si="19"/>
        <v>6.8704780180398577E-8</v>
      </c>
      <c r="N63" s="28">
        <f t="shared" ca="1" si="20"/>
        <v>2.4122422553702976E-5</v>
      </c>
      <c r="O63" s="28">
        <f t="shared" ca="1" si="21"/>
        <v>3.0916954946894558E-4</v>
      </c>
      <c r="P63" s="14">
        <f t="shared" ca="1" si="15"/>
        <v>-9.3064904200266391E-3</v>
      </c>
      <c r="Q63" s="14"/>
      <c r="R63" s="14"/>
      <c r="S63" s="14"/>
      <c r="T63" s="14"/>
    </row>
    <row r="64" spans="1:20" x14ac:dyDescent="0.2">
      <c r="A64" s="63"/>
      <c r="B64" s="63"/>
      <c r="C64" s="14"/>
      <c r="D64" s="64">
        <f t="shared" si="16"/>
        <v>0</v>
      </c>
      <c r="E64" s="64">
        <f t="shared" si="17"/>
        <v>0</v>
      </c>
      <c r="F64" s="28">
        <f t="shared" si="9"/>
        <v>0</v>
      </c>
      <c r="G64" s="28">
        <f t="shared" si="10"/>
        <v>0</v>
      </c>
      <c r="H64" s="28">
        <f t="shared" si="11"/>
        <v>0</v>
      </c>
      <c r="I64" s="28">
        <f t="shared" si="12"/>
        <v>0</v>
      </c>
      <c r="J64" s="28">
        <f t="shared" si="13"/>
        <v>0</v>
      </c>
      <c r="K64" s="28">
        <f t="shared" ca="1" si="18"/>
        <v>9.3064904200266391E-3</v>
      </c>
      <c r="L64" s="28">
        <f t="shared" ca="1" si="14"/>
        <v>8.6610763938047613E-5</v>
      </c>
      <c r="M64" s="28">
        <f t="shared" ca="1" si="19"/>
        <v>6.8704780180398577E-8</v>
      </c>
      <c r="N64" s="28">
        <f t="shared" ca="1" si="20"/>
        <v>2.4122422553702976E-5</v>
      </c>
      <c r="O64" s="28">
        <f t="shared" ca="1" si="21"/>
        <v>3.0916954946894558E-4</v>
      </c>
      <c r="P64" s="14">
        <f t="shared" ca="1" si="15"/>
        <v>-9.3064904200266391E-3</v>
      </c>
      <c r="Q64" s="14"/>
      <c r="R64" s="14"/>
      <c r="S64" s="14"/>
      <c r="T64" s="14"/>
    </row>
    <row r="65" spans="1:20" x14ac:dyDescent="0.2">
      <c r="A65" s="63"/>
      <c r="B65" s="63"/>
      <c r="C65" s="14"/>
      <c r="D65" s="64">
        <f t="shared" si="16"/>
        <v>0</v>
      </c>
      <c r="E65" s="64">
        <f t="shared" si="17"/>
        <v>0</v>
      </c>
      <c r="F65" s="28">
        <f t="shared" si="9"/>
        <v>0</v>
      </c>
      <c r="G65" s="28">
        <f t="shared" si="10"/>
        <v>0</v>
      </c>
      <c r="H65" s="28">
        <f t="shared" si="11"/>
        <v>0</v>
      </c>
      <c r="I65" s="28">
        <f t="shared" si="12"/>
        <v>0</v>
      </c>
      <c r="J65" s="28">
        <f t="shared" si="13"/>
        <v>0</v>
      </c>
      <c r="K65" s="28">
        <f t="shared" ca="1" si="18"/>
        <v>9.3064904200266391E-3</v>
      </c>
      <c r="L65" s="28">
        <f t="shared" ca="1" si="14"/>
        <v>8.6610763938047613E-5</v>
      </c>
      <c r="M65" s="28">
        <f t="shared" ca="1" si="19"/>
        <v>6.8704780180398577E-8</v>
      </c>
      <c r="N65" s="28">
        <f t="shared" ca="1" si="20"/>
        <v>2.4122422553702976E-5</v>
      </c>
      <c r="O65" s="28">
        <f t="shared" ca="1" si="21"/>
        <v>3.0916954946894558E-4</v>
      </c>
      <c r="P65" s="14">
        <f t="shared" ca="1" si="15"/>
        <v>-9.3064904200266391E-3</v>
      </c>
      <c r="Q65" s="14"/>
      <c r="R65" s="14"/>
      <c r="S65" s="14"/>
      <c r="T65" s="14"/>
    </row>
    <row r="66" spans="1:20" x14ac:dyDescent="0.2">
      <c r="A66" s="63"/>
      <c r="B66" s="63"/>
      <c r="C66" s="14"/>
      <c r="D66" s="64">
        <f t="shared" si="16"/>
        <v>0</v>
      </c>
      <c r="E66" s="64">
        <f t="shared" si="17"/>
        <v>0</v>
      </c>
      <c r="F66" s="28">
        <f t="shared" si="9"/>
        <v>0</v>
      </c>
      <c r="G66" s="28">
        <f t="shared" si="10"/>
        <v>0</v>
      </c>
      <c r="H66" s="28">
        <f t="shared" si="11"/>
        <v>0</v>
      </c>
      <c r="I66" s="28">
        <f t="shared" si="12"/>
        <v>0</v>
      </c>
      <c r="J66" s="28">
        <f t="shared" si="13"/>
        <v>0</v>
      </c>
      <c r="K66" s="28">
        <f t="shared" ca="1" si="18"/>
        <v>9.3064904200266391E-3</v>
      </c>
      <c r="L66" s="28">
        <f t="shared" ca="1" si="14"/>
        <v>8.6610763938047613E-5</v>
      </c>
      <c r="M66" s="28">
        <f t="shared" ca="1" si="19"/>
        <v>6.8704780180398577E-8</v>
      </c>
      <c r="N66" s="28">
        <f t="shared" ca="1" si="20"/>
        <v>2.4122422553702976E-5</v>
      </c>
      <c r="O66" s="28">
        <f t="shared" ca="1" si="21"/>
        <v>3.0916954946894558E-4</v>
      </c>
      <c r="P66" s="14">
        <f t="shared" ca="1" si="15"/>
        <v>-9.3064904200266391E-3</v>
      </c>
      <c r="Q66" s="14"/>
      <c r="R66" s="14"/>
      <c r="S66" s="14"/>
      <c r="T66" s="14"/>
    </row>
    <row r="67" spans="1:20" x14ac:dyDescent="0.2">
      <c r="A67" s="63"/>
      <c r="B67" s="63"/>
      <c r="C67" s="14"/>
      <c r="D67" s="64">
        <f t="shared" si="16"/>
        <v>0</v>
      </c>
      <c r="E67" s="64">
        <f t="shared" si="17"/>
        <v>0</v>
      </c>
      <c r="F67" s="28">
        <f t="shared" si="9"/>
        <v>0</v>
      </c>
      <c r="G67" s="28">
        <f t="shared" si="10"/>
        <v>0</v>
      </c>
      <c r="H67" s="28">
        <f t="shared" si="11"/>
        <v>0</v>
      </c>
      <c r="I67" s="28">
        <f t="shared" si="12"/>
        <v>0</v>
      </c>
      <c r="J67" s="28">
        <f t="shared" si="13"/>
        <v>0</v>
      </c>
      <c r="K67" s="28">
        <f t="shared" ca="1" si="18"/>
        <v>9.3064904200266391E-3</v>
      </c>
      <c r="L67" s="28">
        <f t="shared" ca="1" si="14"/>
        <v>8.6610763938047613E-5</v>
      </c>
      <c r="M67" s="28">
        <f t="shared" ca="1" si="19"/>
        <v>6.8704780180398577E-8</v>
      </c>
      <c r="N67" s="28">
        <f t="shared" ca="1" si="20"/>
        <v>2.4122422553702976E-5</v>
      </c>
      <c r="O67" s="28">
        <f t="shared" ca="1" si="21"/>
        <v>3.0916954946894558E-4</v>
      </c>
      <c r="P67" s="14">
        <f t="shared" ca="1" si="15"/>
        <v>-9.3064904200266391E-3</v>
      </c>
      <c r="Q67" s="14"/>
      <c r="R67" s="14"/>
      <c r="S67" s="14"/>
      <c r="T67" s="14"/>
    </row>
    <row r="68" spans="1:20" x14ac:dyDescent="0.2">
      <c r="A68" s="63"/>
      <c r="B68" s="63"/>
      <c r="C68" s="14"/>
      <c r="D68" s="64">
        <f t="shared" si="16"/>
        <v>0</v>
      </c>
      <c r="E68" s="64">
        <f t="shared" si="17"/>
        <v>0</v>
      </c>
      <c r="F68" s="28">
        <f t="shared" si="9"/>
        <v>0</v>
      </c>
      <c r="G68" s="28">
        <f t="shared" si="10"/>
        <v>0</v>
      </c>
      <c r="H68" s="28">
        <f t="shared" si="11"/>
        <v>0</v>
      </c>
      <c r="I68" s="28">
        <f t="shared" si="12"/>
        <v>0</v>
      </c>
      <c r="J68" s="28">
        <f t="shared" si="13"/>
        <v>0</v>
      </c>
      <c r="K68" s="28">
        <f t="shared" ca="1" si="18"/>
        <v>9.3064904200266391E-3</v>
      </c>
      <c r="L68" s="28">
        <f t="shared" ca="1" si="14"/>
        <v>8.6610763938047613E-5</v>
      </c>
      <c r="M68" s="28">
        <f t="shared" ca="1" si="19"/>
        <v>6.8704780180398577E-8</v>
      </c>
      <c r="N68" s="28">
        <f t="shared" ca="1" si="20"/>
        <v>2.4122422553702976E-5</v>
      </c>
      <c r="O68" s="28">
        <f t="shared" ca="1" si="21"/>
        <v>3.0916954946894558E-4</v>
      </c>
      <c r="P68" s="14">
        <f t="shared" ca="1" si="15"/>
        <v>-9.3064904200266391E-3</v>
      </c>
      <c r="Q68" s="14"/>
      <c r="R68" s="14"/>
      <c r="S68" s="14"/>
      <c r="T68" s="14"/>
    </row>
    <row r="69" spans="1:20" x14ac:dyDescent="0.2">
      <c r="A69" s="63"/>
      <c r="B69" s="63"/>
      <c r="C69" s="14"/>
      <c r="D69" s="64">
        <f t="shared" si="16"/>
        <v>0</v>
      </c>
      <c r="E69" s="64">
        <f t="shared" si="17"/>
        <v>0</v>
      </c>
      <c r="F69" s="28">
        <f t="shared" si="9"/>
        <v>0</v>
      </c>
      <c r="G69" s="28">
        <f t="shared" si="10"/>
        <v>0</v>
      </c>
      <c r="H69" s="28">
        <f t="shared" si="11"/>
        <v>0</v>
      </c>
      <c r="I69" s="28">
        <f t="shared" si="12"/>
        <v>0</v>
      </c>
      <c r="J69" s="28">
        <f t="shared" si="13"/>
        <v>0</v>
      </c>
      <c r="K69" s="28">
        <f t="shared" ca="1" si="18"/>
        <v>9.3064904200266391E-3</v>
      </c>
      <c r="L69" s="28">
        <f t="shared" ca="1" si="14"/>
        <v>8.6610763938047613E-5</v>
      </c>
      <c r="M69" s="28">
        <f t="shared" ca="1" si="19"/>
        <v>6.8704780180398577E-8</v>
      </c>
      <c r="N69" s="28">
        <f t="shared" ca="1" si="20"/>
        <v>2.4122422553702976E-5</v>
      </c>
      <c r="O69" s="28">
        <f t="shared" ca="1" si="21"/>
        <v>3.0916954946894558E-4</v>
      </c>
      <c r="P69" s="14">
        <f t="shared" ca="1" si="15"/>
        <v>-9.3064904200266391E-3</v>
      </c>
      <c r="Q69" s="14"/>
      <c r="R69" s="14"/>
      <c r="S69" s="14"/>
      <c r="T69" s="14"/>
    </row>
    <row r="70" spans="1:20" x14ac:dyDescent="0.2">
      <c r="A70" s="63"/>
      <c r="B70" s="63"/>
      <c r="C70" s="14"/>
      <c r="D70" s="64">
        <f t="shared" si="16"/>
        <v>0</v>
      </c>
      <c r="E70" s="64">
        <f t="shared" si="17"/>
        <v>0</v>
      </c>
      <c r="F70" s="28">
        <f t="shared" si="9"/>
        <v>0</v>
      </c>
      <c r="G70" s="28">
        <f t="shared" si="10"/>
        <v>0</v>
      </c>
      <c r="H70" s="28">
        <f t="shared" si="11"/>
        <v>0</v>
      </c>
      <c r="I70" s="28">
        <f t="shared" si="12"/>
        <v>0</v>
      </c>
      <c r="J70" s="28">
        <f t="shared" si="13"/>
        <v>0</v>
      </c>
      <c r="K70" s="28">
        <f t="shared" ca="1" si="18"/>
        <v>9.3064904200266391E-3</v>
      </c>
      <c r="L70" s="28">
        <f t="shared" ca="1" si="14"/>
        <v>8.6610763938047613E-5</v>
      </c>
      <c r="M70" s="28">
        <f t="shared" ca="1" si="19"/>
        <v>6.8704780180398577E-8</v>
      </c>
      <c r="N70" s="28">
        <f t="shared" ca="1" si="20"/>
        <v>2.4122422553702976E-5</v>
      </c>
      <c r="O70" s="28">
        <f t="shared" ca="1" si="21"/>
        <v>3.0916954946894558E-4</v>
      </c>
      <c r="P70" s="14">
        <f t="shared" ca="1" si="15"/>
        <v>-9.3064904200266391E-3</v>
      </c>
      <c r="Q70" s="14"/>
      <c r="R70" s="14"/>
      <c r="S70" s="14"/>
      <c r="T70" s="14"/>
    </row>
    <row r="71" spans="1:20" x14ac:dyDescent="0.2">
      <c r="A71" s="63"/>
      <c r="B71" s="63"/>
      <c r="C71" s="14"/>
      <c r="D71" s="64">
        <f t="shared" si="16"/>
        <v>0</v>
      </c>
      <c r="E71" s="64">
        <f t="shared" si="17"/>
        <v>0</v>
      </c>
      <c r="F71" s="28">
        <f t="shared" si="9"/>
        <v>0</v>
      </c>
      <c r="G71" s="28">
        <f t="shared" si="10"/>
        <v>0</v>
      </c>
      <c r="H71" s="28">
        <f t="shared" si="11"/>
        <v>0</v>
      </c>
      <c r="I71" s="28">
        <f t="shared" si="12"/>
        <v>0</v>
      </c>
      <c r="J71" s="28">
        <f t="shared" si="13"/>
        <v>0</v>
      </c>
      <c r="K71" s="28">
        <f t="shared" ca="1" si="18"/>
        <v>9.3064904200266391E-3</v>
      </c>
      <c r="L71" s="28">
        <f t="shared" ca="1" si="14"/>
        <v>8.6610763938047613E-5</v>
      </c>
      <c r="M71" s="28">
        <f t="shared" ca="1" si="19"/>
        <v>6.8704780180398577E-8</v>
      </c>
      <c r="N71" s="28">
        <f t="shared" ca="1" si="20"/>
        <v>2.4122422553702976E-5</v>
      </c>
      <c r="O71" s="28">
        <f t="shared" ca="1" si="21"/>
        <v>3.0916954946894558E-4</v>
      </c>
      <c r="P71" s="14">
        <f t="shared" ca="1" si="15"/>
        <v>-9.3064904200266391E-3</v>
      </c>
      <c r="Q71" s="14"/>
      <c r="R71" s="14"/>
      <c r="S71" s="14"/>
      <c r="T71" s="14"/>
    </row>
    <row r="72" spans="1:20" x14ac:dyDescent="0.2">
      <c r="A72" s="63"/>
      <c r="B72" s="63"/>
      <c r="C72" s="14"/>
      <c r="D72" s="64">
        <f t="shared" si="16"/>
        <v>0</v>
      </c>
      <c r="E72" s="64">
        <f t="shared" si="17"/>
        <v>0</v>
      </c>
      <c r="F72" s="28">
        <f t="shared" si="9"/>
        <v>0</v>
      </c>
      <c r="G72" s="28">
        <f t="shared" si="10"/>
        <v>0</v>
      </c>
      <c r="H72" s="28">
        <f t="shared" si="11"/>
        <v>0</v>
      </c>
      <c r="I72" s="28">
        <f t="shared" si="12"/>
        <v>0</v>
      </c>
      <c r="J72" s="28">
        <f t="shared" si="13"/>
        <v>0</v>
      </c>
      <c r="K72" s="28">
        <f t="shared" ca="1" si="18"/>
        <v>9.3064904200266391E-3</v>
      </c>
      <c r="L72" s="28">
        <f t="shared" ca="1" si="14"/>
        <v>8.6610763938047613E-5</v>
      </c>
      <c r="M72" s="28">
        <f t="shared" ca="1" si="19"/>
        <v>6.8704780180398577E-8</v>
      </c>
      <c r="N72" s="28">
        <f t="shared" ca="1" si="20"/>
        <v>2.4122422553702976E-5</v>
      </c>
      <c r="O72" s="28">
        <f t="shared" ca="1" si="21"/>
        <v>3.0916954946894558E-4</v>
      </c>
      <c r="P72" s="14">
        <f t="shared" ca="1" si="15"/>
        <v>-9.3064904200266391E-3</v>
      </c>
      <c r="Q72" s="14"/>
      <c r="R72" s="14"/>
      <c r="S72" s="14"/>
      <c r="T72" s="14"/>
    </row>
    <row r="73" spans="1:20" x14ac:dyDescent="0.2">
      <c r="A73" s="63"/>
      <c r="B73" s="63"/>
      <c r="C73" s="14"/>
      <c r="D73" s="64">
        <f t="shared" si="16"/>
        <v>0</v>
      </c>
      <c r="E73" s="64">
        <f t="shared" si="17"/>
        <v>0</v>
      </c>
      <c r="F73" s="28">
        <f t="shared" si="9"/>
        <v>0</v>
      </c>
      <c r="G73" s="28">
        <f t="shared" si="10"/>
        <v>0</v>
      </c>
      <c r="H73" s="28">
        <f t="shared" si="11"/>
        <v>0</v>
      </c>
      <c r="I73" s="28">
        <f t="shared" si="12"/>
        <v>0</v>
      </c>
      <c r="J73" s="28">
        <f t="shared" si="13"/>
        <v>0</v>
      </c>
      <c r="K73" s="28">
        <f t="shared" ca="1" si="18"/>
        <v>9.3064904200266391E-3</v>
      </c>
      <c r="L73" s="28">
        <f t="shared" ca="1" si="14"/>
        <v>8.6610763938047613E-5</v>
      </c>
      <c r="M73" s="28">
        <f t="shared" ca="1" si="19"/>
        <v>6.8704780180398577E-8</v>
      </c>
      <c r="N73" s="28">
        <f t="shared" ca="1" si="20"/>
        <v>2.4122422553702976E-5</v>
      </c>
      <c r="O73" s="28">
        <f t="shared" ca="1" si="21"/>
        <v>3.0916954946894558E-4</v>
      </c>
      <c r="P73" s="14">
        <f t="shared" ca="1" si="15"/>
        <v>-9.3064904200266391E-3</v>
      </c>
      <c r="Q73" s="14"/>
      <c r="R73" s="14"/>
      <c r="S73" s="14"/>
      <c r="T73" s="14"/>
    </row>
    <row r="74" spans="1:20" x14ac:dyDescent="0.2">
      <c r="A74" s="63"/>
      <c r="B74" s="63"/>
      <c r="C74" s="14"/>
      <c r="D74" s="64">
        <f t="shared" si="16"/>
        <v>0</v>
      </c>
      <c r="E74" s="64">
        <f t="shared" si="17"/>
        <v>0</v>
      </c>
      <c r="F74" s="28">
        <f t="shared" si="9"/>
        <v>0</v>
      </c>
      <c r="G74" s="28">
        <f t="shared" si="10"/>
        <v>0</v>
      </c>
      <c r="H74" s="28">
        <f t="shared" si="11"/>
        <v>0</v>
      </c>
      <c r="I74" s="28">
        <f t="shared" si="12"/>
        <v>0</v>
      </c>
      <c r="J74" s="28">
        <f t="shared" si="13"/>
        <v>0</v>
      </c>
      <c r="K74" s="28">
        <f t="shared" ca="1" si="18"/>
        <v>9.3064904200266391E-3</v>
      </c>
      <c r="L74" s="28">
        <f t="shared" ca="1" si="14"/>
        <v>8.6610763938047613E-5</v>
      </c>
      <c r="M74" s="28">
        <f t="shared" ca="1" si="19"/>
        <v>6.8704780180398577E-8</v>
      </c>
      <c r="N74" s="28">
        <f t="shared" ca="1" si="20"/>
        <v>2.4122422553702976E-5</v>
      </c>
      <c r="O74" s="28">
        <f t="shared" ca="1" si="21"/>
        <v>3.0916954946894558E-4</v>
      </c>
      <c r="P74" s="14">
        <f t="shared" ca="1" si="15"/>
        <v>-9.3064904200266391E-3</v>
      </c>
      <c r="Q74" s="14"/>
      <c r="R74" s="14"/>
      <c r="S74" s="14"/>
      <c r="T74" s="14"/>
    </row>
    <row r="75" spans="1:20" x14ac:dyDescent="0.2">
      <c r="A75" s="63"/>
      <c r="B75" s="63"/>
      <c r="C75" s="14"/>
      <c r="D75" s="64">
        <f t="shared" si="16"/>
        <v>0</v>
      </c>
      <c r="E75" s="64">
        <f t="shared" si="17"/>
        <v>0</v>
      </c>
      <c r="F75" s="28">
        <f t="shared" si="9"/>
        <v>0</v>
      </c>
      <c r="G75" s="28">
        <f t="shared" si="10"/>
        <v>0</v>
      </c>
      <c r="H75" s="28">
        <f t="shared" si="11"/>
        <v>0</v>
      </c>
      <c r="I75" s="28">
        <f t="shared" si="12"/>
        <v>0</v>
      </c>
      <c r="J75" s="28">
        <f t="shared" si="13"/>
        <v>0</v>
      </c>
      <c r="K75" s="28">
        <f t="shared" ca="1" si="18"/>
        <v>9.3064904200266391E-3</v>
      </c>
      <c r="L75" s="28">
        <f t="shared" ca="1" si="14"/>
        <v>8.6610763938047613E-5</v>
      </c>
      <c r="M75" s="28">
        <f t="shared" ca="1" si="19"/>
        <v>6.8704780180398577E-8</v>
      </c>
      <c r="N75" s="28">
        <f t="shared" ca="1" si="20"/>
        <v>2.4122422553702976E-5</v>
      </c>
      <c r="O75" s="28">
        <f t="shared" ca="1" si="21"/>
        <v>3.0916954946894558E-4</v>
      </c>
      <c r="P75" s="14">
        <f t="shared" ca="1" si="15"/>
        <v>-9.3064904200266391E-3</v>
      </c>
      <c r="Q75" s="14"/>
      <c r="R75" s="14"/>
      <c r="S75" s="14"/>
      <c r="T75" s="14"/>
    </row>
    <row r="76" spans="1:20" x14ac:dyDescent="0.2">
      <c r="A76" s="63"/>
      <c r="B76" s="63"/>
      <c r="C76" s="14"/>
      <c r="D76" s="64">
        <f t="shared" si="16"/>
        <v>0</v>
      </c>
      <c r="E76" s="64">
        <f t="shared" si="17"/>
        <v>0</v>
      </c>
      <c r="F76" s="28">
        <f t="shared" si="9"/>
        <v>0</v>
      </c>
      <c r="G76" s="28">
        <f t="shared" si="10"/>
        <v>0</v>
      </c>
      <c r="H76" s="28">
        <f t="shared" si="11"/>
        <v>0</v>
      </c>
      <c r="I76" s="28">
        <f t="shared" si="12"/>
        <v>0</v>
      </c>
      <c r="J76" s="28">
        <f t="shared" si="13"/>
        <v>0</v>
      </c>
      <c r="K76" s="28">
        <f t="shared" ca="1" si="18"/>
        <v>9.3064904200266391E-3</v>
      </c>
      <c r="L76" s="28">
        <f t="shared" ca="1" si="14"/>
        <v>8.6610763938047613E-5</v>
      </c>
      <c r="M76" s="28">
        <f t="shared" ca="1" si="19"/>
        <v>6.8704780180398577E-8</v>
      </c>
      <c r="N76" s="28">
        <f t="shared" ca="1" si="20"/>
        <v>2.4122422553702976E-5</v>
      </c>
      <c r="O76" s="28">
        <f t="shared" ca="1" si="21"/>
        <v>3.0916954946894558E-4</v>
      </c>
      <c r="P76" s="14">
        <f t="shared" ca="1" si="15"/>
        <v>-9.3064904200266391E-3</v>
      </c>
      <c r="Q76" s="14"/>
      <c r="R76" s="14"/>
      <c r="S76" s="14"/>
      <c r="T76" s="14"/>
    </row>
    <row r="77" spans="1:20" x14ac:dyDescent="0.2">
      <c r="A77" s="63"/>
      <c r="B77" s="63"/>
      <c r="C77" s="14"/>
      <c r="D77" s="64">
        <f t="shared" si="16"/>
        <v>0</v>
      </c>
      <c r="E77" s="64">
        <f t="shared" si="17"/>
        <v>0</v>
      </c>
      <c r="F77" s="28">
        <f t="shared" si="9"/>
        <v>0</v>
      </c>
      <c r="G77" s="28">
        <f t="shared" si="10"/>
        <v>0</v>
      </c>
      <c r="H77" s="28">
        <f t="shared" si="11"/>
        <v>0</v>
      </c>
      <c r="I77" s="28">
        <f t="shared" si="12"/>
        <v>0</v>
      </c>
      <c r="J77" s="28">
        <f t="shared" si="13"/>
        <v>0</v>
      </c>
      <c r="K77" s="28">
        <f t="shared" ca="1" si="18"/>
        <v>9.3064904200266391E-3</v>
      </c>
      <c r="L77" s="28">
        <f t="shared" ca="1" si="14"/>
        <v>8.6610763938047613E-5</v>
      </c>
      <c r="M77" s="28">
        <f t="shared" ca="1" si="19"/>
        <v>6.8704780180398577E-8</v>
      </c>
      <c r="N77" s="28">
        <f t="shared" ca="1" si="20"/>
        <v>2.4122422553702976E-5</v>
      </c>
      <c r="O77" s="28">
        <f t="shared" ca="1" si="21"/>
        <v>3.0916954946894558E-4</v>
      </c>
      <c r="P77" s="14">
        <f t="shared" ca="1" si="15"/>
        <v>-9.3064904200266391E-3</v>
      </c>
      <c r="Q77" s="14"/>
      <c r="R77" s="14"/>
      <c r="S77" s="14"/>
      <c r="T77" s="14"/>
    </row>
    <row r="78" spans="1:20" x14ac:dyDescent="0.2">
      <c r="A78" s="63"/>
      <c r="B78" s="63"/>
      <c r="C78" s="14"/>
      <c r="D78" s="64">
        <f t="shared" si="16"/>
        <v>0</v>
      </c>
      <c r="E78" s="64">
        <f t="shared" si="17"/>
        <v>0</v>
      </c>
      <c r="F78" s="28">
        <f t="shared" si="9"/>
        <v>0</v>
      </c>
      <c r="G78" s="28">
        <f t="shared" si="10"/>
        <v>0</v>
      </c>
      <c r="H78" s="28">
        <f t="shared" si="11"/>
        <v>0</v>
      </c>
      <c r="I78" s="28">
        <f t="shared" si="12"/>
        <v>0</v>
      </c>
      <c r="J78" s="28">
        <f t="shared" si="13"/>
        <v>0</v>
      </c>
      <c r="K78" s="28">
        <f t="shared" ca="1" si="18"/>
        <v>9.3064904200266391E-3</v>
      </c>
      <c r="L78" s="28">
        <f t="shared" ca="1" si="14"/>
        <v>8.6610763938047613E-5</v>
      </c>
      <c r="M78" s="28">
        <f t="shared" ca="1" si="19"/>
        <v>6.8704780180398577E-8</v>
      </c>
      <c r="N78" s="28">
        <f t="shared" ca="1" si="20"/>
        <v>2.4122422553702976E-5</v>
      </c>
      <c r="O78" s="28">
        <f t="shared" ca="1" si="21"/>
        <v>3.0916954946894558E-4</v>
      </c>
      <c r="P78" s="14">
        <f t="shared" ca="1" si="15"/>
        <v>-9.3064904200266391E-3</v>
      </c>
      <c r="Q78" s="14"/>
      <c r="R78" s="14"/>
      <c r="S78" s="14"/>
      <c r="T78" s="14"/>
    </row>
    <row r="79" spans="1:20" x14ac:dyDescent="0.2">
      <c r="A79" s="63"/>
      <c r="B79" s="63"/>
      <c r="C79" s="14"/>
      <c r="D79" s="64">
        <f t="shared" si="16"/>
        <v>0</v>
      </c>
      <c r="E79" s="64">
        <f t="shared" si="17"/>
        <v>0</v>
      </c>
      <c r="F79" s="28">
        <f t="shared" si="9"/>
        <v>0</v>
      </c>
      <c r="G79" s="28">
        <f t="shared" si="10"/>
        <v>0</v>
      </c>
      <c r="H79" s="28">
        <f t="shared" si="11"/>
        <v>0</v>
      </c>
      <c r="I79" s="28">
        <f t="shared" si="12"/>
        <v>0</v>
      </c>
      <c r="J79" s="28">
        <f t="shared" si="13"/>
        <v>0</v>
      </c>
      <c r="K79" s="28">
        <f t="shared" ca="1" si="18"/>
        <v>9.3064904200266391E-3</v>
      </c>
      <c r="L79" s="28">
        <f t="shared" ca="1" si="14"/>
        <v>8.6610763938047613E-5</v>
      </c>
      <c r="M79" s="28">
        <f t="shared" ca="1" si="19"/>
        <v>6.8704780180398577E-8</v>
      </c>
      <c r="N79" s="28">
        <f t="shared" ca="1" si="20"/>
        <v>2.4122422553702976E-5</v>
      </c>
      <c r="O79" s="28">
        <f t="shared" ca="1" si="21"/>
        <v>3.0916954946894558E-4</v>
      </c>
      <c r="P79" s="14">
        <f t="shared" ca="1" si="15"/>
        <v>-9.3064904200266391E-3</v>
      </c>
      <c r="Q79" s="14"/>
      <c r="R79" s="14"/>
      <c r="S79" s="14"/>
      <c r="T79" s="14"/>
    </row>
    <row r="80" spans="1:20" x14ac:dyDescent="0.2">
      <c r="A80" s="63"/>
      <c r="B80" s="63"/>
      <c r="C80" s="14"/>
      <c r="D80" s="64">
        <f t="shared" si="16"/>
        <v>0</v>
      </c>
      <c r="E80" s="64">
        <f t="shared" si="17"/>
        <v>0</v>
      </c>
      <c r="F80" s="28">
        <f t="shared" si="9"/>
        <v>0</v>
      </c>
      <c r="G80" s="28">
        <f t="shared" si="10"/>
        <v>0</v>
      </c>
      <c r="H80" s="28">
        <f t="shared" si="11"/>
        <v>0</v>
      </c>
      <c r="I80" s="28">
        <f t="shared" si="12"/>
        <v>0</v>
      </c>
      <c r="J80" s="28">
        <f t="shared" si="13"/>
        <v>0</v>
      </c>
      <c r="K80" s="28">
        <f t="shared" ca="1" si="18"/>
        <v>9.3064904200266391E-3</v>
      </c>
      <c r="L80" s="28">
        <f t="shared" ca="1" si="14"/>
        <v>8.6610763938047613E-5</v>
      </c>
      <c r="M80" s="28">
        <f t="shared" ca="1" si="19"/>
        <v>6.8704780180398577E-8</v>
      </c>
      <c r="N80" s="28">
        <f t="shared" ca="1" si="20"/>
        <v>2.4122422553702976E-5</v>
      </c>
      <c r="O80" s="28">
        <f t="shared" ca="1" si="21"/>
        <v>3.0916954946894558E-4</v>
      </c>
      <c r="P80" s="14">
        <f t="shared" ca="1" si="15"/>
        <v>-9.3064904200266391E-3</v>
      </c>
      <c r="Q80" s="14"/>
      <c r="R80" s="14"/>
      <c r="S80" s="14"/>
      <c r="T80" s="14"/>
    </row>
    <row r="81" spans="1:20" x14ac:dyDescent="0.2">
      <c r="A81" s="63"/>
      <c r="B81" s="63"/>
      <c r="C81" s="14"/>
      <c r="D81" s="64">
        <f t="shared" si="16"/>
        <v>0</v>
      </c>
      <c r="E81" s="64">
        <f t="shared" si="17"/>
        <v>0</v>
      </c>
      <c r="F81" s="28">
        <f t="shared" si="9"/>
        <v>0</v>
      </c>
      <c r="G81" s="28">
        <f t="shared" si="10"/>
        <v>0</v>
      </c>
      <c r="H81" s="28">
        <f t="shared" si="11"/>
        <v>0</v>
      </c>
      <c r="I81" s="28">
        <f t="shared" si="12"/>
        <v>0</v>
      </c>
      <c r="J81" s="28">
        <f t="shared" si="13"/>
        <v>0</v>
      </c>
      <c r="K81" s="28">
        <f t="shared" ca="1" si="18"/>
        <v>9.3064904200266391E-3</v>
      </c>
      <c r="L81" s="28">
        <f t="shared" ca="1" si="14"/>
        <v>8.6610763938047613E-5</v>
      </c>
      <c r="M81" s="28">
        <f t="shared" ca="1" si="19"/>
        <v>6.8704780180398577E-8</v>
      </c>
      <c r="N81" s="28">
        <f t="shared" ca="1" si="20"/>
        <v>2.4122422553702976E-5</v>
      </c>
      <c r="O81" s="28">
        <f t="shared" ca="1" si="21"/>
        <v>3.0916954946894558E-4</v>
      </c>
      <c r="P81" s="14">
        <f t="shared" ca="1" si="15"/>
        <v>-9.3064904200266391E-3</v>
      </c>
      <c r="Q81" s="14"/>
      <c r="R81" s="14"/>
      <c r="S81" s="14"/>
      <c r="T81" s="14"/>
    </row>
    <row r="82" spans="1:20" x14ac:dyDescent="0.2">
      <c r="A82" s="63"/>
      <c r="B82" s="63"/>
      <c r="C82" s="14"/>
      <c r="D82" s="64">
        <f t="shared" si="16"/>
        <v>0</v>
      </c>
      <c r="E82" s="64">
        <f t="shared" si="17"/>
        <v>0</v>
      </c>
      <c r="F82" s="28">
        <f t="shared" si="9"/>
        <v>0</v>
      </c>
      <c r="G82" s="28">
        <f t="shared" si="10"/>
        <v>0</v>
      </c>
      <c r="H82" s="28">
        <f t="shared" si="11"/>
        <v>0</v>
      </c>
      <c r="I82" s="28">
        <f t="shared" si="12"/>
        <v>0</v>
      </c>
      <c r="J82" s="28">
        <f t="shared" si="13"/>
        <v>0</v>
      </c>
      <c r="K82" s="28">
        <f t="shared" ca="1" si="18"/>
        <v>9.3064904200266391E-3</v>
      </c>
      <c r="L82" s="28">
        <f t="shared" ca="1" si="14"/>
        <v>8.6610763938047613E-5</v>
      </c>
      <c r="M82" s="28">
        <f t="shared" ca="1" si="19"/>
        <v>6.8704780180398577E-8</v>
      </c>
      <c r="N82" s="28">
        <f t="shared" ca="1" si="20"/>
        <v>2.4122422553702976E-5</v>
      </c>
      <c r="O82" s="28">
        <f t="shared" ca="1" si="21"/>
        <v>3.0916954946894558E-4</v>
      </c>
      <c r="P82" s="14">
        <f t="shared" ca="1" si="15"/>
        <v>-9.3064904200266391E-3</v>
      </c>
      <c r="Q82" s="14"/>
      <c r="R82" s="14"/>
      <c r="S82" s="14"/>
      <c r="T82" s="14"/>
    </row>
    <row r="83" spans="1:20" x14ac:dyDescent="0.2">
      <c r="A83" s="63"/>
      <c r="B83" s="63"/>
      <c r="C83" s="14"/>
      <c r="D83" s="64">
        <f t="shared" si="16"/>
        <v>0</v>
      </c>
      <c r="E83" s="64">
        <f t="shared" si="17"/>
        <v>0</v>
      </c>
      <c r="F83" s="28">
        <f t="shared" si="9"/>
        <v>0</v>
      </c>
      <c r="G83" s="28">
        <f t="shared" si="10"/>
        <v>0</v>
      </c>
      <c r="H83" s="28">
        <f t="shared" si="11"/>
        <v>0</v>
      </c>
      <c r="I83" s="28">
        <f t="shared" si="12"/>
        <v>0</v>
      </c>
      <c r="J83" s="28">
        <f t="shared" si="13"/>
        <v>0</v>
      </c>
      <c r="K83" s="28">
        <f t="shared" ca="1" si="18"/>
        <v>9.3064904200266391E-3</v>
      </c>
      <c r="L83" s="28">
        <f t="shared" ca="1" si="14"/>
        <v>8.6610763938047613E-5</v>
      </c>
      <c r="M83" s="28">
        <f t="shared" ca="1" si="19"/>
        <v>6.8704780180398577E-8</v>
      </c>
      <c r="N83" s="28">
        <f t="shared" ca="1" si="20"/>
        <v>2.4122422553702976E-5</v>
      </c>
      <c r="O83" s="28">
        <f t="shared" ca="1" si="21"/>
        <v>3.0916954946894558E-4</v>
      </c>
      <c r="P83" s="14">
        <f t="shared" ca="1" si="15"/>
        <v>-9.3064904200266391E-3</v>
      </c>
      <c r="Q83" s="14"/>
      <c r="R83" s="14"/>
      <c r="S83" s="14"/>
      <c r="T83" s="14"/>
    </row>
    <row r="84" spans="1:20" x14ac:dyDescent="0.2">
      <c r="A84" s="63"/>
      <c r="B84" s="63"/>
      <c r="C84" s="14"/>
      <c r="D84" s="64">
        <f t="shared" ref="D84:D115" si="22">A84/A$18</f>
        <v>0</v>
      </c>
      <c r="E84" s="64">
        <f t="shared" ref="E84:E115" si="23">B84/B$18</f>
        <v>0</v>
      </c>
      <c r="F84" s="28">
        <f t="shared" si="9"/>
        <v>0</v>
      </c>
      <c r="G84" s="28">
        <f t="shared" si="10"/>
        <v>0</v>
      </c>
      <c r="H84" s="28">
        <f t="shared" si="11"/>
        <v>0</v>
      </c>
      <c r="I84" s="28">
        <f t="shared" si="12"/>
        <v>0</v>
      </c>
      <c r="J84" s="28">
        <f t="shared" si="13"/>
        <v>0</v>
      </c>
      <c r="K84" s="28">
        <f t="shared" ref="K84:K115" ca="1" si="24">+E$4+E$5*D84+E$6*D84^2</f>
        <v>9.3064904200266391E-3</v>
      </c>
      <c r="L84" s="28">
        <f t="shared" ca="1" si="14"/>
        <v>8.6610763938047613E-5</v>
      </c>
      <c r="M84" s="28">
        <f t="shared" ref="M84:M115" ca="1" si="25">(M$1-M$2*D84+M$3*F84)^2</f>
        <v>6.8704780180398577E-8</v>
      </c>
      <c r="N84" s="28">
        <f t="shared" ref="N84:N115" ca="1" si="26">(-M$2+M$4*D84-M$5*F84)^2</f>
        <v>2.4122422553702976E-5</v>
      </c>
      <c r="O84" s="28">
        <f t="shared" ref="O84:O115" ca="1" si="27">+(M$3-D84*M$5+F84*M$6)^2</f>
        <v>3.0916954946894558E-4</v>
      </c>
      <c r="P84" s="14">
        <f t="shared" ca="1" si="15"/>
        <v>-9.3064904200266391E-3</v>
      </c>
      <c r="Q84" s="14"/>
      <c r="R84" s="14"/>
      <c r="S84" s="14"/>
      <c r="T84" s="14"/>
    </row>
    <row r="85" spans="1:20" x14ac:dyDescent="0.2">
      <c r="A85" s="63"/>
      <c r="B85" s="63"/>
      <c r="C85" s="14"/>
      <c r="D85" s="64">
        <f t="shared" si="22"/>
        <v>0</v>
      </c>
      <c r="E85" s="64">
        <f t="shared" si="23"/>
        <v>0</v>
      </c>
      <c r="F85" s="28">
        <f t="shared" ref="F85:F122" si="28">D85*D85</f>
        <v>0</v>
      </c>
      <c r="G85" s="28">
        <f t="shared" ref="G85:G122" si="29">D85*F85</f>
        <v>0</v>
      </c>
      <c r="H85" s="28">
        <f t="shared" ref="H85:H122" si="30">F85*F85</f>
        <v>0</v>
      </c>
      <c r="I85" s="28">
        <f t="shared" ref="I85:I122" si="31">E85*D85</f>
        <v>0</v>
      </c>
      <c r="J85" s="28">
        <f t="shared" ref="J85:J122" si="32">I85*D85</f>
        <v>0</v>
      </c>
      <c r="K85" s="28">
        <f t="shared" ca="1" si="24"/>
        <v>9.3064904200266391E-3</v>
      </c>
      <c r="L85" s="28">
        <f t="shared" ref="L85:L122" ca="1" si="33">+(K85-E85)^2</f>
        <v>8.6610763938047613E-5</v>
      </c>
      <c r="M85" s="28">
        <f t="shared" ca="1" si="25"/>
        <v>6.8704780180398577E-8</v>
      </c>
      <c r="N85" s="28">
        <f t="shared" ca="1" si="26"/>
        <v>2.4122422553702976E-5</v>
      </c>
      <c r="O85" s="28">
        <f t="shared" ca="1" si="27"/>
        <v>3.0916954946894558E-4</v>
      </c>
      <c r="P85" s="14">
        <f t="shared" ref="P85:P122" ca="1" si="34">+E85-K85</f>
        <v>-9.3064904200266391E-3</v>
      </c>
      <c r="Q85" s="14"/>
      <c r="R85" s="14"/>
      <c r="S85" s="14"/>
      <c r="T85" s="14"/>
    </row>
    <row r="86" spans="1:20" x14ac:dyDescent="0.2">
      <c r="A86" s="63"/>
      <c r="B86" s="63"/>
      <c r="C86" s="14"/>
      <c r="D86" s="64">
        <f t="shared" si="22"/>
        <v>0</v>
      </c>
      <c r="E86" s="64">
        <f t="shared" si="23"/>
        <v>0</v>
      </c>
      <c r="F86" s="28">
        <f t="shared" si="28"/>
        <v>0</v>
      </c>
      <c r="G86" s="28">
        <f t="shared" si="29"/>
        <v>0</v>
      </c>
      <c r="H86" s="28">
        <f t="shared" si="30"/>
        <v>0</v>
      </c>
      <c r="I86" s="28">
        <f t="shared" si="31"/>
        <v>0</v>
      </c>
      <c r="J86" s="28">
        <f t="shared" si="32"/>
        <v>0</v>
      </c>
      <c r="K86" s="28">
        <f t="shared" ca="1" si="24"/>
        <v>9.3064904200266391E-3</v>
      </c>
      <c r="L86" s="28">
        <f t="shared" ca="1" si="33"/>
        <v>8.6610763938047613E-5</v>
      </c>
      <c r="M86" s="28">
        <f t="shared" ca="1" si="25"/>
        <v>6.8704780180398577E-8</v>
      </c>
      <c r="N86" s="28">
        <f t="shared" ca="1" si="26"/>
        <v>2.4122422553702976E-5</v>
      </c>
      <c r="O86" s="28">
        <f t="shared" ca="1" si="27"/>
        <v>3.0916954946894558E-4</v>
      </c>
      <c r="P86" s="14">
        <f t="shared" ca="1" si="34"/>
        <v>-9.3064904200266391E-3</v>
      </c>
      <c r="Q86" s="14"/>
      <c r="R86" s="14"/>
      <c r="S86" s="14"/>
      <c r="T86" s="14"/>
    </row>
    <row r="87" spans="1:20" x14ac:dyDescent="0.2">
      <c r="A87" s="63"/>
      <c r="B87" s="63"/>
      <c r="C87" s="14"/>
      <c r="D87" s="64">
        <f t="shared" si="22"/>
        <v>0</v>
      </c>
      <c r="E87" s="64">
        <f t="shared" si="23"/>
        <v>0</v>
      </c>
      <c r="F87" s="28">
        <f t="shared" si="28"/>
        <v>0</v>
      </c>
      <c r="G87" s="28">
        <f t="shared" si="29"/>
        <v>0</v>
      </c>
      <c r="H87" s="28">
        <f t="shared" si="30"/>
        <v>0</v>
      </c>
      <c r="I87" s="28">
        <f t="shared" si="31"/>
        <v>0</v>
      </c>
      <c r="J87" s="28">
        <f t="shared" si="32"/>
        <v>0</v>
      </c>
      <c r="K87" s="28">
        <f t="shared" ca="1" si="24"/>
        <v>9.3064904200266391E-3</v>
      </c>
      <c r="L87" s="28">
        <f t="shared" ca="1" si="33"/>
        <v>8.6610763938047613E-5</v>
      </c>
      <c r="M87" s="28">
        <f t="shared" ca="1" si="25"/>
        <v>6.8704780180398577E-8</v>
      </c>
      <c r="N87" s="28">
        <f t="shared" ca="1" si="26"/>
        <v>2.4122422553702976E-5</v>
      </c>
      <c r="O87" s="28">
        <f t="shared" ca="1" si="27"/>
        <v>3.0916954946894558E-4</v>
      </c>
      <c r="P87" s="14">
        <f t="shared" ca="1" si="34"/>
        <v>-9.3064904200266391E-3</v>
      </c>
      <c r="Q87" s="14"/>
      <c r="R87" s="14"/>
      <c r="S87" s="14"/>
      <c r="T87" s="14"/>
    </row>
    <row r="88" spans="1:20" x14ac:dyDescent="0.2">
      <c r="A88" s="63"/>
      <c r="B88" s="63"/>
      <c r="C88" s="14"/>
      <c r="D88" s="64">
        <f t="shared" si="22"/>
        <v>0</v>
      </c>
      <c r="E88" s="64">
        <f t="shared" si="23"/>
        <v>0</v>
      </c>
      <c r="F88" s="28">
        <f t="shared" si="28"/>
        <v>0</v>
      </c>
      <c r="G88" s="28">
        <f t="shared" si="29"/>
        <v>0</v>
      </c>
      <c r="H88" s="28">
        <f t="shared" si="30"/>
        <v>0</v>
      </c>
      <c r="I88" s="28">
        <f t="shared" si="31"/>
        <v>0</v>
      </c>
      <c r="J88" s="28">
        <f t="shared" si="32"/>
        <v>0</v>
      </c>
      <c r="K88" s="28">
        <f t="shared" ca="1" si="24"/>
        <v>9.3064904200266391E-3</v>
      </c>
      <c r="L88" s="28">
        <f t="shared" ca="1" si="33"/>
        <v>8.6610763938047613E-5</v>
      </c>
      <c r="M88" s="28">
        <f t="shared" ca="1" si="25"/>
        <v>6.8704780180398577E-8</v>
      </c>
      <c r="N88" s="28">
        <f t="shared" ca="1" si="26"/>
        <v>2.4122422553702976E-5</v>
      </c>
      <c r="O88" s="28">
        <f t="shared" ca="1" si="27"/>
        <v>3.0916954946894558E-4</v>
      </c>
      <c r="P88" s="14">
        <f t="shared" ca="1" si="34"/>
        <v>-9.3064904200266391E-3</v>
      </c>
      <c r="Q88" s="14"/>
      <c r="R88" s="14"/>
      <c r="S88" s="14"/>
      <c r="T88" s="14"/>
    </row>
    <row r="89" spans="1:20" x14ac:dyDescent="0.2">
      <c r="A89" s="63"/>
      <c r="B89" s="63"/>
      <c r="C89" s="14"/>
      <c r="D89" s="64">
        <f t="shared" si="22"/>
        <v>0</v>
      </c>
      <c r="E89" s="64">
        <f t="shared" si="23"/>
        <v>0</v>
      </c>
      <c r="F89" s="28">
        <f t="shared" si="28"/>
        <v>0</v>
      </c>
      <c r="G89" s="28">
        <f t="shared" si="29"/>
        <v>0</v>
      </c>
      <c r="H89" s="28">
        <f t="shared" si="30"/>
        <v>0</v>
      </c>
      <c r="I89" s="28">
        <f t="shared" si="31"/>
        <v>0</v>
      </c>
      <c r="J89" s="28">
        <f t="shared" si="32"/>
        <v>0</v>
      </c>
      <c r="K89" s="28">
        <f t="shared" ca="1" si="24"/>
        <v>9.3064904200266391E-3</v>
      </c>
      <c r="L89" s="28">
        <f t="shared" ca="1" si="33"/>
        <v>8.6610763938047613E-5</v>
      </c>
      <c r="M89" s="28">
        <f t="shared" ca="1" si="25"/>
        <v>6.8704780180398577E-8</v>
      </c>
      <c r="N89" s="28">
        <f t="shared" ca="1" si="26"/>
        <v>2.4122422553702976E-5</v>
      </c>
      <c r="O89" s="28">
        <f t="shared" ca="1" si="27"/>
        <v>3.0916954946894558E-4</v>
      </c>
      <c r="P89" s="14">
        <f t="shared" ca="1" si="34"/>
        <v>-9.3064904200266391E-3</v>
      </c>
      <c r="Q89" s="14"/>
      <c r="R89" s="14"/>
      <c r="S89" s="14"/>
      <c r="T89" s="14"/>
    </row>
    <row r="90" spans="1:20" x14ac:dyDescent="0.2">
      <c r="A90" s="63"/>
      <c r="B90" s="63"/>
      <c r="C90" s="14"/>
      <c r="D90" s="64">
        <f t="shared" si="22"/>
        <v>0</v>
      </c>
      <c r="E90" s="64">
        <f t="shared" si="23"/>
        <v>0</v>
      </c>
      <c r="F90" s="28">
        <f t="shared" si="28"/>
        <v>0</v>
      </c>
      <c r="G90" s="28">
        <f t="shared" si="29"/>
        <v>0</v>
      </c>
      <c r="H90" s="28">
        <f t="shared" si="30"/>
        <v>0</v>
      </c>
      <c r="I90" s="28">
        <f t="shared" si="31"/>
        <v>0</v>
      </c>
      <c r="J90" s="28">
        <f t="shared" si="32"/>
        <v>0</v>
      </c>
      <c r="K90" s="28">
        <f t="shared" ca="1" si="24"/>
        <v>9.3064904200266391E-3</v>
      </c>
      <c r="L90" s="28">
        <f t="shared" ca="1" si="33"/>
        <v>8.6610763938047613E-5</v>
      </c>
      <c r="M90" s="28">
        <f t="shared" ca="1" si="25"/>
        <v>6.8704780180398577E-8</v>
      </c>
      <c r="N90" s="28">
        <f t="shared" ca="1" si="26"/>
        <v>2.4122422553702976E-5</v>
      </c>
      <c r="O90" s="28">
        <f t="shared" ca="1" si="27"/>
        <v>3.0916954946894558E-4</v>
      </c>
      <c r="P90" s="14">
        <f t="shared" ca="1" si="34"/>
        <v>-9.3064904200266391E-3</v>
      </c>
      <c r="Q90" s="14"/>
      <c r="R90" s="14"/>
      <c r="S90" s="14"/>
      <c r="T90" s="14"/>
    </row>
    <row r="91" spans="1:20" x14ac:dyDescent="0.2">
      <c r="A91" s="63"/>
      <c r="B91" s="63"/>
      <c r="C91" s="14"/>
      <c r="D91" s="64">
        <f t="shared" si="22"/>
        <v>0</v>
      </c>
      <c r="E91" s="64">
        <f t="shared" si="23"/>
        <v>0</v>
      </c>
      <c r="F91" s="28">
        <f t="shared" si="28"/>
        <v>0</v>
      </c>
      <c r="G91" s="28">
        <f t="shared" si="29"/>
        <v>0</v>
      </c>
      <c r="H91" s="28">
        <f t="shared" si="30"/>
        <v>0</v>
      </c>
      <c r="I91" s="28">
        <f t="shared" si="31"/>
        <v>0</v>
      </c>
      <c r="J91" s="28">
        <f t="shared" si="32"/>
        <v>0</v>
      </c>
      <c r="K91" s="28">
        <f t="shared" ca="1" si="24"/>
        <v>9.3064904200266391E-3</v>
      </c>
      <c r="L91" s="28">
        <f t="shared" ca="1" si="33"/>
        <v>8.6610763938047613E-5</v>
      </c>
      <c r="M91" s="28">
        <f t="shared" ca="1" si="25"/>
        <v>6.8704780180398577E-8</v>
      </c>
      <c r="N91" s="28">
        <f t="shared" ca="1" si="26"/>
        <v>2.4122422553702976E-5</v>
      </c>
      <c r="O91" s="28">
        <f t="shared" ca="1" si="27"/>
        <v>3.0916954946894558E-4</v>
      </c>
      <c r="P91" s="14">
        <f t="shared" ca="1" si="34"/>
        <v>-9.3064904200266391E-3</v>
      </c>
      <c r="Q91" s="14"/>
      <c r="R91" s="14"/>
      <c r="S91" s="14"/>
      <c r="T91" s="14"/>
    </row>
    <row r="92" spans="1:20" x14ac:dyDescent="0.2">
      <c r="A92" s="63"/>
      <c r="B92" s="63"/>
      <c r="C92" s="14"/>
      <c r="D92" s="64">
        <f t="shared" si="22"/>
        <v>0</v>
      </c>
      <c r="E92" s="64">
        <f t="shared" si="23"/>
        <v>0</v>
      </c>
      <c r="F92" s="28">
        <f t="shared" si="28"/>
        <v>0</v>
      </c>
      <c r="G92" s="28">
        <f t="shared" si="29"/>
        <v>0</v>
      </c>
      <c r="H92" s="28">
        <f t="shared" si="30"/>
        <v>0</v>
      </c>
      <c r="I92" s="28">
        <f t="shared" si="31"/>
        <v>0</v>
      </c>
      <c r="J92" s="28">
        <f t="shared" si="32"/>
        <v>0</v>
      </c>
      <c r="K92" s="28">
        <f t="shared" ca="1" si="24"/>
        <v>9.3064904200266391E-3</v>
      </c>
      <c r="L92" s="28">
        <f t="shared" ca="1" si="33"/>
        <v>8.6610763938047613E-5</v>
      </c>
      <c r="M92" s="28">
        <f t="shared" ca="1" si="25"/>
        <v>6.8704780180398577E-8</v>
      </c>
      <c r="N92" s="28">
        <f t="shared" ca="1" si="26"/>
        <v>2.4122422553702976E-5</v>
      </c>
      <c r="O92" s="28">
        <f t="shared" ca="1" si="27"/>
        <v>3.0916954946894558E-4</v>
      </c>
      <c r="P92" s="14">
        <f t="shared" ca="1" si="34"/>
        <v>-9.3064904200266391E-3</v>
      </c>
      <c r="Q92" s="14"/>
      <c r="R92" s="14"/>
      <c r="S92" s="14"/>
      <c r="T92" s="14"/>
    </row>
    <row r="93" spans="1:20" x14ac:dyDescent="0.2">
      <c r="A93" s="63"/>
      <c r="B93" s="63"/>
      <c r="C93" s="14"/>
      <c r="D93" s="64">
        <f t="shared" si="22"/>
        <v>0</v>
      </c>
      <c r="E93" s="64">
        <f t="shared" si="23"/>
        <v>0</v>
      </c>
      <c r="F93" s="28">
        <f t="shared" si="28"/>
        <v>0</v>
      </c>
      <c r="G93" s="28">
        <f t="shared" si="29"/>
        <v>0</v>
      </c>
      <c r="H93" s="28">
        <f t="shared" si="30"/>
        <v>0</v>
      </c>
      <c r="I93" s="28">
        <f t="shared" si="31"/>
        <v>0</v>
      </c>
      <c r="J93" s="28">
        <f t="shared" si="32"/>
        <v>0</v>
      </c>
      <c r="K93" s="28">
        <f t="shared" ca="1" si="24"/>
        <v>9.3064904200266391E-3</v>
      </c>
      <c r="L93" s="28">
        <f t="shared" ca="1" si="33"/>
        <v>8.6610763938047613E-5</v>
      </c>
      <c r="M93" s="28">
        <f t="shared" ca="1" si="25"/>
        <v>6.8704780180398577E-8</v>
      </c>
      <c r="N93" s="28">
        <f t="shared" ca="1" si="26"/>
        <v>2.4122422553702976E-5</v>
      </c>
      <c r="O93" s="28">
        <f t="shared" ca="1" si="27"/>
        <v>3.0916954946894558E-4</v>
      </c>
      <c r="P93" s="14">
        <f t="shared" ca="1" si="34"/>
        <v>-9.3064904200266391E-3</v>
      </c>
      <c r="Q93" s="14"/>
      <c r="R93" s="14"/>
      <c r="S93" s="14"/>
      <c r="T93" s="14"/>
    </row>
    <row r="94" spans="1:20" x14ac:dyDescent="0.2">
      <c r="A94" s="63"/>
      <c r="B94" s="63"/>
      <c r="C94" s="14"/>
      <c r="D94" s="64">
        <f t="shared" si="22"/>
        <v>0</v>
      </c>
      <c r="E94" s="64">
        <f t="shared" si="23"/>
        <v>0</v>
      </c>
      <c r="F94" s="28">
        <f t="shared" si="28"/>
        <v>0</v>
      </c>
      <c r="G94" s="28">
        <f t="shared" si="29"/>
        <v>0</v>
      </c>
      <c r="H94" s="28">
        <f t="shared" si="30"/>
        <v>0</v>
      </c>
      <c r="I94" s="28">
        <f t="shared" si="31"/>
        <v>0</v>
      </c>
      <c r="J94" s="28">
        <f t="shared" si="32"/>
        <v>0</v>
      </c>
      <c r="K94" s="28">
        <f t="shared" ca="1" si="24"/>
        <v>9.3064904200266391E-3</v>
      </c>
      <c r="L94" s="28">
        <f t="shared" ca="1" si="33"/>
        <v>8.6610763938047613E-5</v>
      </c>
      <c r="M94" s="28">
        <f t="shared" ca="1" si="25"/>
        <v>6.8704780180398577E-8</v>
      </c>
      <c r="N94" s="28">
        <f t="shared" ca="1" si="26"/>
        <v>2.4122422553702976E-5</v>
      </c>
      <c r="O94" s="28">
        <f t="shared" ca="1" si="27"/>
        <v>3.0916954946894558E-4</v>
      </c>
      <c r="P94" s="14">
        <f t="shared" ca="1" si="34"/>
        <v>-9.3064904200266391E-3</v>
      </c>
      <c r="Q94" s="14"/>
      <c r="R94" s="14"/>
      <c r="S94" s="14"/>
      <c r="T94" s="14"/>
    </row>
    <row r="95" spans="1:20" x14ac:dyDescent="0.2">
      <c r="A95" s="63"/>
      <c r="B95" s="63"/>
      <c r="C95" s="14"/>
      <c r="D95" s="64">
        <f t="shared" si="22"/>
        <v>0</v>
      </c>
      <c r="E95" s="64">
        <f t="shared" si="23"/>
        <v>0</v>
      </c>
      <c r="F95" s="28">
        <f t="shared" si="28"/>
        <v>0</v>
      </c>
      <c r="G95" s="28">
        <f t="shared" si="29"/>
        <v>0</v>
      </c>
      <c r="H95" s="28">
        <f t="shared" si="30"/>
        <v>0</v>
      </c>
      <c r="I95" s="28">
        <f t="shared" si="31"/>
        <v>0</v>
      </c>
      <c r="J95" s="28">
        <f t="shared" si="32"/>
        <v>0</v>
      </c>
      <c r="K95" s="28">
        <f t="shared" ca="1" si="24"/>
        <v>9.3064904200266391E-3</v>
      </c>
      <c r="L95" s="28">
        <f t="shared" ca="1" si="33"/>
        <v>8.6610763938047613E-5</v>
      </c>
      <c r="M95" s="28">
        <f t="shared" ca="1" si="25"/>
        <v>6.8704780180398577E-8</v>
      </c>
      <c r="N95" s="28">
        <f t="shared" ca="1" si="26"/>
        <v>2.4122422553702976E-5</v>
      </c>
      <c r="O95" s="28">
        <f t="shared" ca="1" si="27"/>
        <v>3.0916954946894558E-4</v>
      </c>
      <c r="P95" s="14">
        <f t="shared" ca="1" si="34"/>
        <v>-9.3064904200266391E-3</v>
      </c>
      <c r="Q95" s="14"/>
      <c r="R95" s="14"/>
      <c r="S95" s="14"/>
      <c r="T95" s="14"/>
    </row>
    <row r="96" spans="1:20" x14ac:dyDescent="0.2">
      <c r="A96" s="63"/>
      <c r="B96" s="63"/>
      <c r="C96" s="14"/>
      <c r="D96" s="64">
        <f t="shared" si="22"/>
        <v>0</v>
      </c>
      <c r="E96" s="64">
        <f t="shared" si="23"/>
        <v>0</v>
      </c>
      <c r="F96" s="28">
        <f t="shared" si="28"/>
        <v>0</v>
      </c>
      <c r="G96" s="28">
        <f t="shared" si="29"/>
        <v>0</v>
      </c>
      <c r="H96" s="28">
        <f t="shared" si="30"/>
        <v>0</v>
      </c>
      <c r="I96" s="28">
        <f t="shared" si="31"/>
        <v>0</v>
      </c>
      <c r="J96" s="28">
        <f t="shared" si="32"/>
        <v>0</v>
      </c>
      <c r="K96" s="28">
        <f t="shared" ca="1" si="24"/>
        <v>9.3064904200266391E-3</v>
      </c>
      <c r="L96" s="28">
        <f t="shared" ca="1" si="33"/>
        <v>8.6610763938047613E-5</v>
      </c>
      <c r="M96" s="28">
        <f t="shared" ca="1" si="25"/>
        <v>6.8704780180398577E-8</v>
      </c>
      <c r="N96" s="28">
        <f t="shared" ca="1" si="26"/>
        <v>2.4122422553702976E-5</v>
      </c>
      <c r="O96" s="28">
        <f t="shared" ca="1" si="27"/>
        <v>3.0916954946894558E-4</v>
      </c>
      <c r="P96" s="14">
        <f t="shared" ca="1" si="34"/>
        <v>-9.3064904200266391E-3</v>
      </c>
      <c r="Q96" s="14"/>
      <c r="R96" s="14"/>
      <c r="S96" s="14"/>
      <c r="T96" s="14"/>
    </row>
    <row r="97" spans="1:20" x14ac:dyDescent="0.2">
      <c r="A97" s="63"/>
      <c r="B97" s="63"/>
      <c r="C97" s="14"/>
      <c r="D97" s="64">
        <f t="shared" si="22"/>
        <v>0</v>
      </c>
      <c r="E97" s="64">
        <f t="shared" si="23"/>
        <v>0</v>
      </c>
      <c r="F97" s="28">
        <f t="shared" si="28"/>
        <v>0</v>
      </c>
      <c r="G97" s="28">
        <f t="shared" si="29"/>
        <v>0</v>
      </c>
      <c r="H97" s="28">
        <f t="shared" si="30"/>
        <v>0</v>
      </c>
      <c r="I97" s="28">
        <f t="shared" si="31"/>
        <v>0</v>
      </c>
      <c r="J97" s="28">
        <f t="shared" si="32"/>
        <v>0</v>
      </c>
      <c r="K97" s="28">
        <f t="shared" ca="1" si="24"/>
        <v>9.3064904200266391E-3</v>
      </c>
      <c r="L97" s="28">
        <f t="shared" ca="1" si="33"/>
        <v>8.6610763938047613E-5</v>
      </c>
      <c r="M97" s="28">
        <f t="shared" ca="1" si="25"/>
        <v>6.8704780180398577E-8</v>
      </c>
      <c r="N97" s="28">
        <f t="shared" ca="1" si="26"/>
        <v>2.4122422553702976E-5</v>
      </c>
      <c r="O97" s="28">
        <f t="shared" ca="1" si="27"/>
        <v>3.0916954946894558E-4</v>
      </c>
      <c r="P97" s="14">
        <f t="shared" ca="1" si="34"/>
        <v>-9.3064904200266391E-3</v>
      </c>
      <c r="Q97" s="14"/>
      <c r="R97" s="14"/>
      <c r="S97" s="14"/>
      <c r="T97" s="14"/>
    </row>
    <row r="98" spans="1:20" x14ac:dyDescent="0.2">
      <c r="A98" s="63"/>
      <c r="B98" s="63"/>
      <c r="C98" s="14"/>
      <c r="D98" s="64">
        <f t="shared" si="22"/>
        <v>0</v>
      </c>
      <c r="E98" s="64">
        <f t="shared" si="23"/>
        <v>0</v>
      </c>
      <c r="F98" s="28">
        <f t="shared" si="28"/>
        <v>0</v>
      </c>
      <c r="G98" s="28">
        <f t="shared" si="29"/>
        <v>0</v>
      </c>
      <c r="H98" s="28">
        <f t="shared" si="30"/>
        <v>0</v>
      </c>
      <c r="I98" s="28">
        <f t="shared" si="31"/>
        <v>0</v>
      </c>
      <c r="J98" s="28">
        <f t="shared" si="32"/>
        <v>0</v>
      </c>
      <c r="K98" s="28">
        <f t="shared" ca="1" si="24"/>
        <v>9.3064904200266391E-3</v>
      </c>
      <c r="L98" s="28">
        <f t="shared" ca="1" si="33"/>
        <v>8.6610763938047613E-5</v>
      </c>
      <c r="M98" s="28">
        <f t="shared" ca="1" si="25"/>
        <v>6.8704780180398577E-8</v>
      </c>
      <c r="N98" s="28">
        <f t="shared" ca="1" si="26"/>
        <v>2.4122422553702976E-5</v>
      </c>
      <c r="O98" s="28">
        <f t="shared" ca="1" si="27"/>
        <v>3.0916954946894558E-4</v>
      </c>
      <c r="P98" s="14">
        <f t="shared" ca="1" si="34"/>
        <v>-9.3064904200266391E-3</v>
      </c>
      <c r="Q98" s="14"/>
      <c r="R98" s="14"/>
      <c r="S98" s="14"/>
      <c r="T98" s="14"/>
    </row>
    <row r="99" spans="1:20" x14ac:dyDescent="0.2">
      <c r="A99" s="63"/>
      <c r="B99" s="63"/>
      <c r="C99" s="14"/>
      <c r="D99" s="64">
        <f t="shared" si="22"/>
        <v>0</v>
      </c>
      <c r="E99" s="64">
        <f t="shared" si="23"/>
        <v>0</v>
      </c>
      <c r="F99" s="28">
        <f t="shared" si="28"/>
        <v>0</v>
      </c>
      <c r="G99" s="28">
        <f t="shared" si="29"/>
        <v>0</v>
      </c>
      <c r="H99" s="28">
        <f t="shared" si="30"/>
        <v>0</v>
      </c>
      <c r="I99" s="28">
        <f t="shared" si="31"/>
        <v>0</v>
      </c>
      <c r="J99" s="28">
        <f t="shared" si="32"/>
        <v>0</v>
      </c>
      <c r="K99" s="28">
        <f t="shared" ca="1" si="24"/>
        <v>9.3064904200266391E-3</v>
      </c>
      <c r="L99" s="28">
        <f t="shared" ca="1" si="33"/>
        <v>8.6610763938047613E-5</v>
      </c>
      <c r="M99" s="28">
        <f t="shared" ca="1" si="25"/>
        <v>6.8704780180398577E-8</v>
      </c>
      <c r="N99" s="28">
        <f t="shared" ca="1" si="26"/>
        <v>2.4122422553702976E-5</v>
      </c>
      <c r="O99" s="28">
        <f t="shared" ca="1" si="27"/>
        <v>3.0916954946894558E-4</v>
      </c>
      <c r="P99" s="14">
        <f t="shared" ca="1" si="34"/>
        <v>-9.3064904200266391E-3</v>
      </c>
      <c r="Q99" s="14"/>
      <c r="R99" s="14"/>
      <c r="S99" s="14"/>
      <c r="T99" s="14"/>
    </row>
    <row r="100" spans="1:20" x14ac:dyDescent="0.2">
      <c r="A100" s="63"/>
      <c r="B100" s="63"/>
      <c r="C100" s="14"/>
      <c r="D100" s="64">
        <f t="shared" si="22"/>
        <v>0</v>
      </c>
      <c r="E100" s="64">
        <f t="shared" si="23"/>
        <v>0</v>
      </c>
      <c r="F100" s="28">
        <f t="shared" si="28"/>
        <v>0</v>
      </c>
      <c r="G100" s="28">
        <f t="shared" si="29"/>
        <v>0</v>
      </c>
      <c r="H100" s="28">
        <f t="shared" si="30"/>
        <v>0</v>
      </c>
      <c r="I100" s="28">
        <f t="shared" si="31"/>
        <v>0</v>
      </c>
      <c r="J100" s="28">
        <f t="shared" si="32"/>
        <v>0</v>
      </c>
      <c r="K100" s="28">
        <f t="shared" ca="1" si="24"/>
        <v>9.3064904200266391E-3</v>
      </c>
      <c r="L100" s="28">
        <f t="shared" ca="1" si="33"/>
        <v>8.6610763938047613E-5</v>
      </c>
      <c r="M100" s="28">
        <f t="shared" ca="1" si="25"/>
        <v>6.8704780180398577E-8</v>
      </c>
      <c r="N100" s="28">
        <f t="shared" ca="1" si="26"/>
        <v>2.4122422553702976E-5</v>
      </c>
      <c r="O100" s="28">
        <f t="shared" ca="1" si="27"/>
        <v>3.0916954946894558E-4</v>
      </c>
      <c r="P100" s="14">
        <f t="shared" ca="1" si="34"/>
        <v>-9.3064904200266391E-3</v>
      </c>
      <c r="Q100" s="14"/>
      <c r="R100" s="14"/>
      <c r="S100" s="14"/>
      <c r="T100" s="14"/>
    </row>
    <row r="101" spans="1:20" x14ac:dyDescent="0.2">
      <c r="A101" s="63"/>
      <c r="B101" s="63"/>
      <c r="C101" s="14"/>
      <c r="D101" s="64">
        <f t="shared" si="22"/>
        <v>0</v>
      </c>
      <c r="E101" s="64">
        <f t="shared" si="23"/>
        <v>0</v>
      </c>
      <c r="F101" s="28">
        <f t="shared" si="28"/>
        <v>0</v>
      </c>
      <c r="G101" s="28">
        <f t="shared" si="29"/>
        <v>0</v>
      </c>
      <c r="H101" s="28">
        <f t="shared" si="30"/>
        <v>0</v>
      </c>
      <c r="I101" s="28">
        <f t="shared" si="31"/>
        <v>0</v>
      </c>
      <c r="J101" s="28">
        <f t="shared" si="32"/>
        <v>0</v>
      </c>
      <c r="K101" s="28">
        <f t="shared" ca="1" si="24"/>
        <v>9.3064904200266391E-3</v>
      </c>
      <c r="L101" s="28">
        <f t="shared" ca="1" si="33"/>
        <v>8.6610763938047613E-5</v>
      </c>
      <c r="M101" s="28">
        <f t="shared" ca="1" si="25"/>
        <v>6.8704780180398577E-8</v>
      </c>
      <c r="N101" s="28">
        <f t="shared" ca="1" si="26"/>
        <v>2.4122422553702976E-5</v>
      </c>
      <c r="O101" s="28">
        <f t="shared" ca="1" si="27"/>
        <v>3.0916954946894558E-4</v>
      </c>
      <c r="P101" s="14">
        <f t="shared" ca="1" si="34"/>
        <v>-9.3064904200266391E-3</v>
      </c>
      <c r="Q101" s="14"/>
      <c r="R101" s="14"/>
      <c r="S101" s="14"/>
      <c r="T101" s="14"/>
    </row>
    <row r="102" spans="1:20" x14ac:dyDescent="0.2">
      <c r="A102" s="63"/>
      <c r="B102" s="63"/>
      <c r="C102" s="14"/>
      <c r="D102" s="64">
        <f t="shared" si="22"/>
        <v>0</v>
      </c>
      <c r="E102" s="64">
        <f t="shared" si="23"/>
        <v>0</v>
      </c>
      <c r="F102" s="28">
        <f t="shared" si="28"/>
        <v>0</v>
      </c>
      <c r="G102" s="28">
        <f t="shared" si="29"/>
        <v>0</v>
      </c>
      <c r="H102" s="28">
        <f t="shared" si="30"/>
        <v>0</v>
      </c>
      <c r="I102" s="28">
        <f t="shared" si="31"/>
        <v>0</v>
      </c>
      <c r="J102" s="28">
        <f t="shared" si="32"/>
        <v>0</v>
      </c>
      <c r="K102" s="28">
        <f t="shared" ca="1" si="24"/>
        <v>9.3064904200266391E-3</v>
      </c>
      <c r="L102" s="28">
        <f t="shared" ca="1" si="33"/>
        <v>8.6610763938047613E-5</v>
      </c>
      <c r="M102" s="28">
        <f t="shared" ca="1" si="25"/>
        <v>6.8704780180398577E-8</v>
      </c>
      <c r="N102" s="28">
        <f t="shared" ca="1" si="26"/>
        <v>2.4122422553702976E-5</v>
      </c>
      <c r="O102" s="28">
        <f t="shared" ca="1" si="27"/>
        <v>3.0916954946894558E-4</v>
      </c>
      <c r="P102" s="14">
        <f t="shared" ca="1" si="34"/>
        <v>-9.3064904200266391E-3</v>
      </c>
      <c r="Q102" s="14"/>
      <c r="R102" s="14"/>
      <c r="S102" s="14"/>
      <c r="T102" s="14"/>
    </row>
    <row r="103" spans="1:20" x14ac:dyDescent="0.2">
      <c r="A103" s="63"/>
      <c r="B103" s="63"/>
      <c r="C103" s="14"/>
      <c r="D103" s="64">
        <f t="shared" si="22"/>
        <v>0</v>
      </c>
      <c r="E103" s="64">
        <f t="shared" si="23"/>
        <v>0</v>
      </c>
      <c r="F103" s="28">
        <f t="shared" si="28"/>
        <v>0</v>
      </c>
      <c r="G103" s="28">
        <f t="shared" si="29"/>
        <v>0</v>
      </c>
      <c r="H103" s="28">
        <f t="shared" si="30"/>
        <v>0</v>
      </c>
      <c r="I103" s="28">
        <f t="shared" si="31"/>
        <v>0</v>
      </c>
      <c r="J103" s="28">
        <f t="shared" si="32"/>
        <v>0</v>
      </c>
      <c r="K103" s="28">
        <f t="shared" ca="1" si="24"/>
        <v>9.3064904200266391E-3</v>
      </c>
      <c r="L103" s="28">
        <f t="shared" ca="1" si="33"/>
        <v>8.6610763938047613E-5</v>
      </c>
      <c r="M103" s="28">
        <f t="shared" ca="1" si="25"/>
        <v>6.8704780180398577E-8</v>
      </c>
      <c r="N103" s="28">
        <f t="shared" ca="1" si="26"/>
        <v>2.4122422553702976E-5</v>
      </c>
      <c r="O103" s="28">
        <f t="shared" ca="1" si="27"/>
        <v>3.0916954946894558E-4</v>
      </c>
      <c r="P103" s="14">
        <f t="shared" ca="1" si="34"/>
        <v>-9.3064904200266391E-3</v>
      </c>
      <c r="Q103" s="14"/>
      <c r="R103" s="14"/>
      <c r="S103" s="14"/>
      <c r="T103" s="14"/>
    </row>
    <row r="104" spans="1:20" x14ac:dyDescent="0.2">
      <c r="A104" s="63"/>
      <c r="B104" s="63"/>
      <c r="C104" s="14"/>
      <c r="D104" s="64">
        <f t="shared" si="22"/>
        <v>0</v>
      </c>
      <c r="E104" s="64">
        <f t="shared" si="23"/>
        <v>0</v>
      </c>
      <c r="F104" s="28">
        <f t="shared" si="28"/>
        <v>0</v>
      </c>
      <c r="G104" s="28">
        <f t="shared" si="29"/>
        <v>0</v>
      </c>
      <c r="H104" s="28">
        <f t="shared" si="30"/>
        <v>0</v>
      </c>
      <c r="I104" s="28">
        <f t="shared" si="31"/>
        <v>0</v>
      </c>
      <c r="J104" s="28">
        <f t="shared" si="32"/>
        <v>0</v>
      </c>
      <c r="K104" s="28">
        <f t="shared" ca="1" si="24"/>
        <v>9.3064904200266391E-3</v>
      </c>
      <c r="L104" s="28">
        <f t="shared" ca="1" si="33"/>
        <v>8.6610763938047613E-5</v>
      </c>
      <c r="M104" s="28">
        <f t="shared" ca="1" si="25"/>
        <v>6.8704780180398577E-8</v>
      </c>
      <c r="N104" s="28">
        <f t="shared" ca="1" si="26"/>
        <v>2.4122422553702976E-5</v>
      </c>
      <c r="O104" s="28">
        <f t="shared" ca="1" si="27"/>
        <v>3.0916954946894558E-4</v>
      </c>
      <c r="P104" s="14">
        <f t="shared" ca="1" si="34"/>
        <v>-9.3064904200266391E-3</v>
      </c>
      <c r="Q104" s="14"/>
      <c r="R104" s="14"/>
      <c r="S104" s="14"/>
      <c r="T104" s="14"/>
    </row>
    <row r="105" spans="1:20" x14ac:dyDescent="0.2">
      <c r="A105" s="63"/>
      <c r="B105" s="63"/>
      <c r="C105" s="14"/>
      <c r="D105" s="64">
        <f t="shared" si="22"/>
        <v>0</v>
      </c>
      <c r="E105" s="64">
        <f t="shared" si="23"/>
        <v>0</v>
      </c>
      <c r="F105" s="28">
        <f t="shared" si="28"/>
        <v>0</v>
      </c>
      <c r="G105" s="28">
        <f t="shared" si="29"/>
        <v>0</v>
      </c>
      <c r="H105" s="28">
        <f t="shared" si="30"/>
        <v>0</v>
      </c>
      <c r="I105" s="28">
        <f t="shared" si="31"/>
        <v>0</v>
      </c>
      <c r="J105" s="28">
        <f t="shared" si="32"/>
        <v>0</v>
      </c>
      <c r="K105" s="28">
        <f t="shared" ca="1" si="24"/>
        <v>9.3064904200266391E-3</v>
      </c>
      <c r="L105" s="28">
        <f t="shared" ca="1" si="33"/>
        <v>8.6610763938047613E-5</v>
      </c>
      <c r="M105" s="28">
        <f t="shared" ca="1" si="25"/>
        <v>6.8704780180398577E-8</v>
      </c>
      <c r="N105" s="28">
        <f t="shared" ca="1" si="26"/>
        <v>2.4122422553702976E-5</v>
      </c>
      <c r="O105" s="28">
        <f t="shared" ca="1" si="27"/>
        <v>3.0916954946894558E-4</v>
      </c>
      <c r="P105" s="14">
        <f t="shared" ca="1" si="34"/>
        <v>-9.3064904200266391E-3</v>
      </c>
      <c r="Q105" s="14"/>
      <c r="R105" s="14"/>
      <c r="S105" s="14"/>
      <c r="T105" s="14"/>
    </row>
    <row r="106" spans="1:20" x14ac:dyDescent="0.2">
      <c r="A106" s="63"/>
      <c r="B106" s="63"/>
      <c r="C106" s="14"/>
      <c r="D106" s="64">
        <f t="shared" si="22"/>
        <v>0</v>
      </c>
      <c r="E106" s="64">
        <f t="shared" si="23"/>
        <v>0</v>
      </c>
      <c r="F106" s="28">
        <f t="shared" si="28"/>
        <v>0</v>
      </c>
      <c r="G106" s="28">
        <f t="shared" si="29"/>
        <v>0</v>
      </c>
      <c r="H106" s="28">
        <f t="shared" si="30"/>
        <v>0</v>
      </c>
      <c r="I106" s="28">
        <f t="shared" si="31"/>
        <v>0</v>
      </c>
      <c r="J106" s="28">
        <f t="shared" si="32"/>
        <v>0</v>
      </c>
      <c r="K106" s="28">
        <f t="shared" ca="1" si="24"/>
        <v>9.3064904200266391E-3</v>
      </c>
      <c r="L106" s="28">
        <f t="shared" ca="1" si="33"/>
        <v>8.6610763938047613E-5</v>
      </c>
      <c r="M106" s="28">
        <f t="shared" ca="1" si="25"/>
        <v>6.8704780180398577E-8</v>
      </c>
      <c r="N106" s="28">
        <f t="shared" ca="1" si="26"/>
        <v>2.4122422553702976E-5</v>
      </c>
      <c r="O106" s="28">
        <f t="shared" ca="1" si="27"/>
        <v>3.0916954946894558E-4</v>
      </c>
      <c r="P106" s="14">
        <f t="shared" ca="1" si="34"/>
        <v>-9.3064904200266391E-3</v>
      </c>
      <c r="Q106" s="14"/>
      <c r="R106" s="14"/>
      <c r="S106" s="14"/>
      <c r="T106" s="14"/>
    </row>
    <row r="107" spans="1:20" x14ac:dyDescent="0.2">
      <c r="A107" s="63"/>
      <c r="B107" s="63"/>
      <c r="C107" s="14"/>
      <c r="D107" s="64">
        <f t="shared" si="22"/>
        <v>0</v>
      </c>
      <c r="E107" s="64">
        <f t="shared" si="23"/>
        <v>0</v>
      </c>
      <c r="F107" s="28">
        <f t="shared" si="28"/>
        <v>0</v>
      </c>
      <c r="G107" s="28">
        <f t="shared" si="29"/>
        <v>0</v>
      </c>
      <c r="H107" s="28">
        <f t="shared" si="30"/>
        <v>0</v>
      </c>
      <c r="I107" s="28">
        <f t="shared" si="31"/>
        <v>0</v>
      </c>
      <c r="J107" s="28">
        <f t="shared" si="32"/>
        <v>0</v>
      </c>
      <c r="K107" s="28">
        <f t="shared" ca="1" si="24"/>
        <v>9.3064904200266391E-3</v>
      </c>
      <c r="L107" s="28">
        <f t="shared" ca="1" si="33"/>
        <v>8.6610763938047613E-5</v>
      </c>
      <c r="M107" s="28">
        <f t="shared" ca="1" si="25"/>
        <v>6.8704780180398577E-8</v>
      </c>
      <c r="N107" s="28">
        <f t="shared" ca="1" si="26"/>
        <v>2.4122422553702976E-5</v>
      </c>
      <c r="O107" s="28">
        <f t="shared" ca="1" si="27"/>
        <v>3.0916954946894558E-4</v>
      </c>
      <c r="P107" s="14">
        <f t="shared" ca="1" si="34"/>
        <v>-9.3064904200266391E-3</v>
      </c>
      <c r="Q107" s="14"/>
      <c r="R107" s="14"/>
      <c r="S107" s="14"/>
      <c r="T107" s="14"/>
    </row>
    <row r="108" spans="1:20" x14ac:dyDescent="0.2">
      <c r="A108" s="63"/>
      <c r="B108" s="63"/>
      <c r="C108" s="14"/>
      <c r="D108" s="64">
        <f t="shared" si="22"/>
        <v>0</v>
      </c>
      <c r="E108" s="64">
        <f t="shared" si="23"/>
        <v>0</v>
      </c>
      <c r="F108" s="28">
        <f t="shared" si="28"/>
        <v>0</v>
      </c>
      <c r="G108" s="28">
        <f t="shared" si="29"/>
        <v>0</v>
      </c>
      <c r="H108" s="28">
        <f t="shared" si="30"/>
        <v>0</v>
      </c>
      <c r="I108" s="28">
        <f t="shared" si="31"/>
        <v>0</v>
      </c>
      <c r="J108" s="28">
        <f t="shared" si="32"/>
        <v>0</v>
      </c>
      <c r="K108" s="28">
        <f t="shared" ca="1" si="24"/>
        <v>9.3064904200266391E-3</v>
      </c>
      <c r="L108" s="28">
        <f t="shared" ca="1" si="33"/>
        <v>8.6610763938047613E-5</v>
      </c>
      <c r="M108" s="28">
        <f t="shared" ca="1" si="25"/>
        <v>6.8704780180398577E-8</v>
      </c>
      <c r="N108" s="28">
        <f t="shared" ca="1" si="26"/>
        <v>2.4122422553702976E-5</v>
      </c>
      <c r="O108" s="28">
        <f t="shared" ca="1" si="27"/>
        <v>3.0916954946894558E-4</v>
      </c>
      <c r="P108" s="14">
        <f t="shared" ca="1" si="34"/>
        <v>-9.3064904200266391E-3</v>
      </c>
      <c r="Q108" s="14"/>
      <c r="R108" s="14"/>
      <c r="S108" s="14"/>
      <c r="T108" s="14"/>
    </row>
    <row r="109" spans="1:20" x14ac:dyDescent="0.2">
      <c r="A109" s="63"/>
      <c r="B109" s="63"/>
      <c r="C109" s="14"/>
      <c r="D109" s="64">
        <f t="shared" si="22"/>
        <v>0</v>
      </c>
      <c r="E109" s="64">
        <f t="shared" si="23"/>
        <v>0</v>
      </c>
      <c r="F109" s="28">
        <f t="shared" si="28"/>
        <v>0</v>
      </c>
      <c r="G109" s="28">
        <f t="shared" si="29"/>
        <v>0</v>
      </c>
      <c r="H109" s="28">
        <f t="shared" si="30"/>
        <v>0</v>
      </c>
      <c r="I109" s="28">
        <f t="shared" si="31"/>
        <v>0</v>
      </c>
      <c r="J109" s="28">
        <f t="shared" si="32"/>
        <v>0</v>
      </c>
      <c r="K109" s="28">
        <f t="shared" ca="1" si="24"/>
        <v>9.3064904200266391E-3</v>
      </c>
      <c r="L109" s="28">
        <f t="shared" ca="1" si="33"/>
        <v>8.6610763938047613E-5</v>
      </c>
      <c r="M109" s="28">
        <f t="shared" ca="1" si="25"/>
        <v>6.8704780180398577E-8</v>
      </c>
      <c r="N109" s="28">
        <f t="shared" ca="1" si="26"/>
        <v>2.4122422553702976E-5</v>
      </c>
      <c r="O109" s="28">
        <f t="shared" ca="1" si="27"/>
        <v>3.0916954946894558E-4</v>
      </c>
      <c r="P109" s="14">
        <f t="shared" ca="1" si="34"/>
        <v>-9.3064904200266391E-3</v>
      </c>
      <c r="Q109" s="14"/>
      <c r="R109" s="14"/>
      <c r="S109" s="14"/>
      <c r="T109" s="14"/>
    </row>
    <row r="110" spans="1:20" x14ac:dyDescent="0.2">
      <c r="A110" s="63"/>
      <c r="B110" s="63"/>
      <c r="C110" s="14"/>
      <c r="D110" s="64">
        <f t="shared" si="22"/>
        <v>0</v>
      </c>
      <c r="E110" s="64">
        <f t="shared" si="23"/>
        <v>0</v>
      </c>
      <c r="F110" s="28">
        <f t="shared" si="28"/>
        <v>0</v>
      </c>
      <c r="G110" s="28">
        <f t="shared" si="29"/>
        <v>0</v>
      </c>
      <c r="H110" s="28">
        <f t="shared" si="30"/>
        <v>0</v>
      </c>
      <c r="I110" s="28">
        <f t="shared" si="31"/>
        <v>0</v>
      </c>
      <c r="J110" s="28">
        <f t="shared" si="32"/>
        <v>0</v>
      </c>
      <c r="K110" s="28">
        <f t="shared" ca="1" si="24"/>
        <v>9.3064904200266391E-3</v>
      </c>
      <c r="L110" s="28">
        <f t="shared" ca="1" si="33"/>
        <v>8.6610763938047613E-5</v>
      </c>
      <c r="M110" s="28">
        <f t="shared" ca="1" si="25"/>
        <v>6.8704780180398577E-8</v>
      </c>
      <c r="N110" s="28">
        <f t="shared" ca="1" si="26"/>
        <v>2.4122422553702976E-5</v>
      </c>
      <c r="O110" s="28">
        <f t="shared" ca="1" si="27"/>
        <v>3.0916954946894558E-4</v>
      </c>
      <c r="P110" s="14">
        <f t="shared" ca="1" si="34"/>
        <v>-9.3064904200266391E-3</v>
      </c>
      <c r="Q110" s="14"/>
      <c r="R110" s="14"/>
      <c r="S110" s="14"/>
      <c r="T110" s="14"/>
    </row>
    <row r="111" spans="1:20" x14ac:dyDescent="0.2">
      <c r="A111" s="63"/>
      <c r="B111" s="63"/>
      <c r="C111" s="14"/>
      <c r="D111" s="64">
        <f t="shared" si="22"/>
        <v>0</v>
      </c>
      <c r="E111" s="64">
        <f t="shared" si="23"/>
        <v>0</v>
      </c>
      <c r="F111" s="28">
        <f t="shared" si="28"/>
        <v>0</v>
      </c>
      <c r="G111" s="28">
        <f t="shared" si="29"/>
        <v>0</v>
      </c>
      <c r="H111" s="28">
        <f t="shared" si="30"/>
        <v>0</v>
      </c>
      <c r="I111" s="28">
        <f t="shared" si="31"/>
        <v>0</v>
      </c>
      <c r="J111" s="28">
        <f t="shared" si="32"/>
        <v>0</v>
      </c>
      <c r="K111" s="28">
        <f t="shared" ca="1" si="24"/>
        <v>9.3064904200266391E-3</v>
      </c>
      <c r="L111" s="28">
        <f t="shared" ca="1" si="33"/>
        <v>8.6610763938047613E-5</v>
      </c>
      <c r="M111" s="28">
        <f t="shared" ca="1" si="25"/>
        <v>6.8704780180398577E-8</v>
      </c>
      <c r="N111" s="28">
        <f t="shared" ca="1" si="26"/>
        <v>2.4122422553702976E-5</v>
      </c>
      <c r="O111" s="28">
        <f t="shared" ca="1" si="27"/>
        <v>3.0916954946894558E-4</v>
      </c>
      <c r="P111" s="14">
        <f t="shared" ca="1" si="34"/>
        <v>-9.3064904200266391E-3</v>
      </c>
      <c r="Q111" s="14"/>
      <c r="R111" s="14"/>
      <c r="S111" s="14"/>
      <c r="T111" s="14"/>
    </row>
    <row r="112" spans="1:20" x14ac:dyDescent="0.2">
      <c r="A112" s="63"/>
      <c r="B112" s="63"/>
      <c r="C112" s="14"/>
      <c r="D112" s="64">
        <f t="shared" si="22"/>
        <v>0</v>
      </c>
      <c r="E112" s="64">
        <f t="shared" si="23"/>
        <v>0</v>
      </c>
      <c r="F112" s="28">
        <f t="shared" si="28"/>
        <v>0</v>
      </c>
      <c r="G112" s="28">
        <f t="shared" si="29"/>
        <v>0</v>
      </c>
      <c r="H112" s="28">
        <f t="shared" si="30"/>
        <v>0</v>
      </c>
      <c r="I112" s="28">
        <f t="shared" si="31"/>
        <v>0</v>
      </c>
      <c r="J112" s="28">
        <f t="shared" si="32"/>
        <v>0</v>
      </c>
      <c r="K112" s="28">
        <f t="shared" ca="1" si="24"/>
        <v>9.3064904200266391E-3</v>
      </c>
      <c r="L112" s="28">
        <f t="shared" ca="1" si="33"/>
        <v>8.6610763938047613E-5</v>
      </c>
      <c r="M112" s="28">
        <f t="shared" ca="1" si="25"/>
        <v>6.8704780180398577E-8</v>
      </c>
      <c r="N112" s="28">
        <f t="shared" ca="1" si="26"/>
        <v>2.4122422553702976E-5</v>
      </c>
      <c r="O112" s="28">
        <f t="shared" ca="1" si="27"/>
        <v>3.0916954946894558E-4</v>
      </c>
      <c r="P112" s="14">
        <f t="shared" ca="1" si="34"/>
        <v>-9.3064904200266391E-3</v>
      </c>
      <c r="Q112" s="14"/>
      <c r="R112" s="14"/>
      <c r="S112" s="14"/>
      <c r="T112" s="14"/>
    </row>
    <row r="113" spans="1:20" x14ac:dyDescent="0.2">
      <c r="A113" s="63"/>
      <c r="B113" s="63"/>
      <c r="C113" s="14"/>
      <c r="D113" s="64">
        <f t="shared" si="22"/>
        <v>0</v>
      </c>
      <c r="E113" s="64">
        <f t="shared" si="23"/>
        <v>0</v>
      </c>
      <c r="F113" s="28">
        <f t="shared" si="28"/>
        <v>0</v>
      </c>
      <c r="G113" s="28">
        <f t="shared" si="29"/>
        <v>0</v>
      </c>
      <c r="H113" s="28">
        <f t="shared" si="30"/>
        <v>0</v>
      </c>
      <c r="I113" s="28">
        <f t="shared" si="31"/>
        <v>0</v>
      </c>
      <c r="J113" s="28">
        <f t="shared" si="32"/>
        <v>0</v>
      </c>
      <c r="K113" s="28">
        <f t="shared" ca="1" si="24"/>
        <v>9.3064904200266391E-3</v>
      </c>
      <c r="L113" s="28">
        <f t="shared" ca="1" si="33"/>
        <v>8.6610763938047613E-5</v>
      </c>
      <c r="M113" s="28">
        <f t="shared" ca="1" si="25"/>
        <v>6.8704780180398577E-8</v>
      </c>
      <c r="N113" s="28">
        <f t="shared" ca="1" si="26"/>
        <v>2.4122422553702976E-5</v>
      </c>
      <c r="O113" s="28">
        <f t="shared" ca="1" si="27"/>
        <v>3.0916954946894558E-4</v>
      </c>
      <c r="P113" s="14">
        <f t="shared" ca="1" si="34"/>
        <v>-9.3064904200266391E-3</v>
      </c>
      <c r="Q113" s="14"/>
      <c r="R113" s="14"/>
      <c r="S113" s="14"/>
      <c r="T113" s="14"/>
    </row>
    <row r="114" spans="1:20" x14ac:dyDescent="0.2">
      <c r="A114" s="63"/>
      <c r="B114" s="63"/>
      <c r="C114" s="14"/>
      <c r="D114" s="64">
        <f t="shared" si="22"/>
        <v>0</v>
      </c>
      <c r="E114" s="64">
        <f t="shared" si="23"/>
        <v>0</v>
      </c>
      <c r="F114" s="28">
        <f t="shared" si="28"/>
        <v>0</v>
      </c>
      <c r="G114" s="28">
        <f t="shared" si="29"/>
        <v>0</v>
      </c>
      <c r="H114" s="28">
        <f t="shared" si="30"/>
        <v>0</v>
      </c>
      <c r="I114" s="28">
        <f t="shared" si="31"/>
        <v>0</v>
      </c>
      <c r="J114" s="28">
        <f t="shared" si="32"/>
        <v>0</v>
      </c>
      <c r="K114" s="28">
        <f t="shared" ca="1" si="24"/>
        <v>9.3064904200266391E-3</v>
      </c>
      <c r="L114" s="28">
        <f t="shared" ca="1" si="33"/>
        <v>8.6610763938047613E-5</v>
      </c>
      <c r="M114" s="28">
        <f t="shared" ca="1" si="25"/>
        <v>6.8704780180398577E-8</v>
      </c>
      <c r="N114" s="28">
        <f t="shared" ca="1" si="26"/>
        <v>2.4122422553702976E-5</v>
      </c>
      <c r="O114" s="28">
        <f t="shared" ca="1" si="27"/>
        <v>3.0916954946894558E-4</v>
      </c>
      <c r="P114" s="14">
        <f t="shared" ca="1" si="34"/>
        <v>-9.3064904200266391E-3</v>
      </c>
      <c r="Q114" s="14"/>
      <c r="R114" s="14"/>
      <c r="S114" s="14"/>
      <c r="T114" s="14"/>
    </row>
    <row r="115" spans="1:20" x14ac:dyDescent="0.2">
      <c r="A115" s="63"/>
      <c r="B115" s="63"/>
      <c r="C115" s="14"/>
      <c r="D115" s="64">
        <f t="shared" si="22"/>
        <v>0</v>
      </c>
      <c r="E115" s="64">
        <f t="shared" si="23"/>
        <v>0</v>
      </c>
      <c r="F115" s="28">
        <f t="shared" si="28"/>
        <v>0</v>
      </c>
      <c r="G115" s="28">
        <f t="shared" si="29"/>
        <v>0</v>
      </c>
      <c r="H115" s="28">
        <f t="shared" si="30"/>
        <v>0</v>
      </c>
      <c r="I115" s="28">
        <f t="shared" si="31"/>
        <v>0</v>
      </c>
      <c r="J115" s="28">
        <f t="shared" si="32"/>
        <v>0</v>
      </c>
      <c r="K115" s="28">
        <f t="shared" ca="1" si="24"/>
        <v>9.3064904200266391E-3</v>
      </c>
      <c r="L115" s="28">
        <f t="shared" ca="1" si="33"/>
        <v>8.6610763938047613E-5</v>
      </c>
      <c r="M115" s="28">
        <f t="shared" ca="1" si="25"/>
        <v>6.8704780180398577E-8</v>
      </c>
      <c r="N115" s="28">
        <f t="shared" ca="1" si="26"/>
        <v>2.4122422553702976E-5</v>
      </c>
      <c r="O115" s="28">
        <f t="shared" ca="1" si="27"/>
        <v>3.0916954946894558E-4</v>
      </c>
      <c r="P115" s="14">
        <f t="shared" ca="1" si="34"/>
        <v>-9.3064904200266391E-3</v>
      </c>
      <c r="Q115" s="14"/>
      <c r="R115" s="14"/>
      <c r="S115" s="14"/>
      <c r="T115" s="14"/>
    </row>
    <row r="116" spans="1:20" x14ac:dyDescent="0.2">
      <c r="A116" s="63"/>
      <c r="B116" s="63"/>
      <c r="C116" s="14"/>
      <c r="D116" s="64">
        <f t="shared" ref="D116:D122" si="35">A116/A$18</f>
        <v>0</v>
      </c>
      <c r="E116" s="64">
        <f t="shared" ref="E116:E122" si="36">B116/B$18</f>
        <v>0</v>
      </c>
      <c r="F116" s="28">
        <f t="shared" si="28"/>
        <v>0</v>
      </c>
      <c r="G116" s="28">
        <f t="shared" si="29"/>
        <v>0</v>
      </c>
      <c r="H116" s="28">
        <f t="shared" si="30"/>
        <v>0</v>
      </c>
      <c r="I116" s="28">
        <f t="shared" si="31"/>
        <v>0</v>
      </c>
      <c r="J116" s="28">
        <f t="shared" si="32"/>
        <v>0</v>
      </c>
      <c r="K116" s="28">
        <f t="shared" ref="K116:K122" ca="1" si="37">+E$4+E$5*D116+E$6*D116^2</f>
        <v>9.3064904200266391E-3</v>
      </c>
      <c r="L116" s="28">
        <f t="shared" ca="1" si="33"/>
        <v>8.6610763938047613E-5</v>
      </c>
      <c r="M116" s="28">
        <f t="shared" ref="M116:M122" ca="1" si="38">(M$1-M$2*D116+M$3*F116)^2</f>
        <v>6.8704780180398577E-8</v>
      </c>
      <c r="N116" s="28">
        <f t="shared" ref="N116:N122" ca="1" si="39">(-M$2+M$4*D116-M$5*F116)^2</f>
        <v>2.4122422553702976E-5</v>
      </c>
      <c r="O116" s="28">
        <f t="shared" ref="O116:O122" ca="1" si="40">+(M$3-D116*M$5+F116*M$6)^2</f>
        <v>3.0916954946894558E-4</v>
      </c>
      <c r="P116" s="14">
        <f t="shared" ca="1" si="34"/>
        <v>-9.3064904200266391E-3</v>
      </c>
      <c r="Q116" s="14"/>
      <c r="R116" s="14"/>
      <c r="S116" s="14"/>
      <c r="T116" s="14"/>
    </row>
    <row r="117" spans="1:20" x14ac:dyDescent="0.2">
      <c r="A117" s="63"/>
      <c r="B117" s="63"/>
      <c r="C117" s="14"/>
      <c r="D117" s="64">
        <f t="shared" si="35"/>
        <v>0</v>
      </c>
      <c r="E117" s="64">
        <f t="shared" si="36"/>
        <v>0</v>
      </c>
      <c r="F117" s="28">
        <f t="shared" si="28"/>
        <v>0</v>
      </c>
      <c r="G117" s="28">
        <f t="shared" si="29"/>
        <v>0</v>
      </c>
      <c r="H117" s="28">
        <f t="shared" si="30"/>
        <v>0</v>
      </c>
      <c r="I117" s="28">
        <f t="shared" si="31"/>
        <v>0</v>
      </c>
      <c r="J117" s="28">
        <f t="shared" si="32"/>
        <v>0</v>
      </c>
      <c r="K117" s="28">
        <f t="shared" ca="1" si="37"/>
        <v>9.3064904200266391E-3</v>
      </c>
      <c r="L117" s="28">
        <f t="shared" ca="1" si="33"/>
        <v>8.6610763938047613E-5</v>
      </c>
      <c r="M117" s="28">
        <f t="shared" ca="1" si="38"/>
        <v>6.8704780180398577E-8</v>
      </c>
      <c r="N117" s="28">
        <f t="shared" ca="1" si="39"/>
        <v>2.4122422553702976E-5</v>
      </c>
      <c r="O117" s="28">
        <f t="shared" ca="1" si="40"/>
        <v>3.0916954946894558E-4</v>
      </c>
      <c r="P117" s="14">
        <f t="shared" ca="1" si="34"/>
        <v>-9.3064904200266391E-3</v>
      </c>
      <c r="Q117" s="14"/>
      <c r="R117" s="14"/>
      <c r="S117" s="14"/>
      <c r="T117" s="14"/>
    </row>
    <row r="118" spans="1:20" x14ac:dyDescent="0.2">
      <c r="A118" s="63"/>
      <c r="B118" s="63"/>
      <c r="C118" s="14"/>
      <c r="D118" s="64">
        <f t="shared" si="35"/>
        <v>0</v>
      </c>
      <c r="E118" s="64">
        <f t="shared" si="36"/>
        <v>0</v>
      </c>
      <c r="F118" s="28">
        <f t="shared" si="28"/>
        <v>0</v>
      </c>
      <c r="G118" s="28">
        <f t="shared" si="29"/>
        <v>0</v>
      </c>
      <c r="H118" s="28">
        <f t="shared" si="30"/>
        <v>0</v>
      </c>
      <c r="I118" s="28">
        <f t="shared" si="31"/>
        <v>0</v>
      </c>
      <c r="J118" s="28">
        <f t="shared" si="32"/>
        <v>0</v>
      </c>
      <c r="K118" s="28">
        <f t="shared" ca="1" si="37"/>
        <v>9.3064904200266391E-3</v>
      </c>
      <c r="L118" s="28">
        <f t="shared" ca="1" si="33"/>
        <v>8.6610763938047613E-5</v>
      </c>
      <c r="M118" s="28">
        <f t="shared" ca="1" si="38"/>
        <v>6.8704780180398577E-8</v>
      </c>
      <c r="N118" s="28">
        <f t="shared" ca="1" si="39"/>
        <v>2.4122422553702976E-5</v>
      </c>
      <c r="O118" s="28">
        <f t="shared" ca="1" si="40"/>
        <v>3.0916954946894558E-4</v>
      </c>
      <c r="P118" s="14">
        <f t="shared" ca="1" si="34"/>
        <v>-9.3064904200266391E-3</v>
      </c>
      <c r="Q118" s="14"/>
      <c r="R118" s="14"/>
      <c r="S118" s="14"/>
      <c r="T118" s="14"/>
    </row>
    <row r="119" spans="1:20" x14ac:dyDescent="0.2">
      <c r="A119" s="63"/>
      <c r="B119" s="63"/>
      <c r="C119" s="14"/>
      <c r="D119" s="64">
        <f t="shared" si="35"/>
        <v>0</v>
      </c>
      <c r="E119" s="64">
        <f t="shared" si="36"/>
        <v>0</v>
      </c>
      <c r="F119" s="28">
        <f t="shared" si="28"/>
        <v>0</v>
      </c>
      <c r="G119" s="28">
        <f t="shared" si="29"/>
        <v>0</v>
      </c>
      <c r="H119" s="28">
        <f t="shared" si="30"/>
        <v>0</v>
      </c>
      <c r="I119" s="28">
        <f t="shared" si="31"/>
        <v>0</v>
      </c>
      <c r="J119" s="28">
        <f t="shared" si="32"/>
        <v>0</v>
      </c>
      <c r="K119" s="28">
        <f t="shared" ca="1" si="37"/>
        <v>9.3064904200266391E-3</v>
      </c>
      <c r="L119" s="28">
        <f t="shared" ca="1" si="33"/>
        <v>8.6610763938047613E-5</v>
      </c>
      <c r="M119" s="28">
        <f t="shared" ca="1" si="38"/>
        <v>6.8704780180398577E-8</v>
      </c>
      <c r="N119" s="28">
        <f t="shared" ca="1" si="39"/>
        <v>2.4122422553702976E-5</v>
      </c>
      <c r="O119" s="28">
        <f t="shared" ca="1" si="40"/>
        <v>3.0916954946894558E-4</v>
      </c>
      <c r="P119" s="14">
        <f t="shared" ca="1" si="34"/>
        <v>-9.3064904200266391E-3</v>
      </c>
      <c r="Q119" s="14"/>
      <c r="R119" s="14"/>
      <c r="S119" s="14"/>
      <c r="T119" s="14"/>
    </row>
    <row r="120" spans="1:20" x14ac:dyDescent="0.2">
      <c r="A120" s="63"/>
      <c r="B120" s="63"/>
      <c r="C120" s="14"/>
      <c r="D120" s="64">
        <f t="shared" si="35"/>
        <v>0</v>
      </c>
      <c r="E120" s="64">
        <f t="shared" si="36"/>
        <v>0</v>
      </c>
      <c r="F120" s="28">
        <f t="shared" si="28"/>
        <v>0</v>
      </c>
      <c r="G120" s="28">
        <f t="shared" si="29"/>
        <v>0</v>
      </c>
      <c r="H120" s="28">
        <f t="shared" si="30"/>
        <v>0</v>
      </c>
      <c r="I120" s="28">
        <f t="shared" si="31"/>
        <v>0</v>
      </c>
      <c r="J120" s="28">
        <f t="shared" si="32"/>
        <v>0</v>
      </c>
      <c r="K120" s="28">
        <f t="shared" ca="1" si="37"/>
        <v>9.3064904200266391E-3</v>
      </c>
      <c r="L120" s="28">
        <f t="shared" ca="1" si="33"/>
        <v>8.6610763938047613E-5</v>
      </c>
      <c r="M120" s="28">
        <f t="shared" ca="1" si="38"/>
        <v>6.8704780180398577E-8</v>
      </c>
      <c r="N120" s="28">
        <f t="shared" ca="1" si="39"/>
        <v>2.4122422553702976E-5</v>
      </c>
      <c r="O120" s="28">
        <f t="shared" ca="1" si="40"/>
        <v>3.0916954946894558E-4</v>
      </c>
      <c r="P120" s="14">
        <f t="shared" ca="1" si="34"/>
        <v>-9.3064904200266391E-3</v>
      </c>
      <c r="Q120" s="14"/>
      <c r="R120" s="14"/>
      <c r="S120" s="14"/>
      <c r="T120" s="14"/>
    </row>
    <row r="121" spans="1:20" x14ac:dyDescent="0.2">
      <c r="A121" s="63"/>
      <c r="B121" s="63"/>
      <c r="C121" s="14"/>
      <c r="D121" s="64">
        <f t="shared" si="35"/>
        <v>0</v>
      </c>
      <c r="E121" s="64">
        <f t="shared" si="36"/>
        <v>0</v>
      </c>
      <c r="F121" s="28">
        <f t="shared" si="28"/>
        <v>0</v>
      </c>
      <c r="G121" s="28">
        <f t="shared" si="29"/>
        <v>0</v>
      </c>
      <c r="H121" s="28">
        <f t="shared" si="30"/>
        <v>0</v>
      </c>
      <c r="I121" s="28">
        <f t="shared" si="31"/>
        <v>0</v>
      </c>
      <c r="J121" s="28">
        <f t="shared" si="32"/>
        <v>0</v>
      </c>
      <c r="K121" s="28">
        <f t="shared" ca="1" si="37"/>
        <v>9.3064904200266391E-3</v>
      </c>
      <c r="L121" s="28">
        <f t="shared" ca="1" si="33"/>
        <v>8.6610763938047613E-5</v>
      </c>
      <c r="M121" s="28">
        <f t="shared" ca="1" si="38"/>
        <v>6.8704780180398577E-8</v>
      </c>
      <c r="N121" s="28">
        <f t="shared" ca="1" si="39"/>
        <v>2.4122422553702976E-5</v>
      </c>
      <c r="O121" s="28">
        <f t="shared" ca="1" si="40"/>
        <v>3.0916954946894558E-4</v>
      </c>
      <c r="P121" s="14">
        <f t="shared" ca="1" si="34"/>
        <v>-9.3064904200266391E-3</v>
      </c>
      <c r="Q121" s="14"/>
      <c r="R121" s="14"/>
      <c r="S121" s="14"/>
      <c r="T121" s="14"/>
    </row>
    <row r="122" spans="1:20" x14ac:dyDescent="0.2">
      <c r="A122" s="63"/>
      <c r="B122" s="63"/>
      <c r="C122" s="14"/>
      <c r="D122" s="64">
        <f t="shared" si="35"/>
        <v>0</v>
      </c>
      <c r="E122" s="64">
        <f t="shared" si="36"/>
        <v>0</v>
      </c>
      <c r="F122" s="28">
        <f t="shared" si="28"/>
        <v>0</v>
      </c>
      <c r="G122" s="28">
        <f t="shared" si="29"/>
        <v>0</v>
      </c>
      <c r="H122" s="28">
        <f t="shared" si="30"/>
        <v>0</v>
      </c>
      <c r="I122" s="28">
        <f t="shared" si="31"/>
        <v>0</v>
      </c>
      <c r="J122" s="28">
        <f t="shared" si="32"/>
        <v>0</v>
      </c>
      <c r="K122" s="28">
        <f t="shared" ca="1" si="37"/>
        <v>9.3064904200266391E-3</v>
      </c>
      <c r="L122" s="28">
        <f t="shared" ca="1" si="33"/>
        <v>8.6610763938047613E-5</v>
      </c>
      <c r="M122" s="28">
        <f t="shared" ca="1" si="38"/>
        <v>6.8704780180398577E-8</v>
      </c>
      <c r="N122" s="28">
        <f t="shared" ca="1" si="39"/>
        <v>2.4122422553702976E-5</v>
      </c>
      <c r="O122" s="28">
        <f t="shared" ca="1" si="40"/>
        <v>3.0916954946894558E-4</v>
      </c>
      <c r="P122" s="14">
        <f t="shared" ca="1" si="34"/>
        <v>-9.3064904200266391E-3</v>
      </c>
      <c r="Q122" s="14"/>
      <c r="R122" s="14"/>
      <c r="S122" s="14"/>
      <c r="T122" s="14"/>
    </row>
    <row r="123" spans="1:20" x14ac:dyDescent="0.2">
      <c r="A123" s="65"/>
      <c r="B123" s="65"/>
      <c r="C123" s="14"/>
      <c r="D123" s="66"/>
      <c r="E123" s="66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</row>
    <row r="124" spans="1:20" x14ac:dyDescent="0.2">
      <c r="A124" s="65"/>
      <c r="B124" s="65"/>
      <c r="C124" s="14"/>
      <c r="D124" s="66"/>
      <c r="E124" s="66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</row>
    <row r="125" spans="1:20" x14ac:dyDescent="0.2">
      <c r="A125" s="65"/>
      <c r="B125" s="65"/>
      <c r="C125" s="14"/>
      <c r="D125" s="66"/>
      <c r="E125" s="66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</row>
    <row r="126" spans="1:20" x14ac:dyDescent="0.2">
      <c r="A126" s="65"/>
      <c r="B126" s="65"/>
      <c r="C126" s="14"/>
      <c r="D126" s="66"/>
      <c r="E126" s="66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</row>
    <row r="127" spans="1:20" x14ac:dyDescent="0.2">
      <c r="A127" s="65"/>
      <c r="B127" s="65"/>
      <c r="C127" s="14"/>
      <c r="D127" s="66"/>
      <c r="E127" s="66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</row>
    <row r="128" spans="1:20" x14ac:dyDescent="0.2">
      <c r="A128" s="65"/>
      <c r="B128" s="65"/>
      <c r="C128" s="14"/>
      <c r="D128" s="66"/>
      <c r="E128" s="66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</row>
    <row r="129" spans="1:20" x14ac:dyDescent="0.2">
      <c r="A129" s="65"/>
      <c r="B129" s="65"/>
      <c r="C129" s="14"/>
      <c r="D129" s="66"/>
      <c r="E129" s="66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</row>
    <row r="130" spans="1:20" x14ac:dyDescent="0.2">
      <c r="A130" s="65"/>
      <c r="B130" s="65"/>
      <c r="C130" s="14"/>
      <c r="D130" s="66"/>
      <c r="E130" s="66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</row>
    <row r="131" spans="1:20" x14ac:dyDescent="0.2">
      <c r="A131" s="65"/>
      <c r="B131" s="65"/>
      <c r="C131" s="14"/>
      <c r="D131" s="66"/>
      <c r="E131" s="66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</row>
    <row r="132" spans="1:20" x14ac:dyDescent="0.2">
      <c r="A132" s="65"/>
      <c r="B132" s="65"/>
      <c r="C132" s="14"/>
      <c r="D132" s="66"/>
      <c r="E132" s="66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</row>
    <row r="133" spans="1:20" x14ac:dyDescent="0.2">
      <c r="A133" s="65"/>
      <c r="B133" s="65"/>
      <c r="C133" s="14"/>
      <c r="D133" s="66"/>
      <c r="E133" s="66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</row>
    <row r="134" spans="1:20" x14ac:dyDescent="0.2">
      <c r="A134" s="65"/>
      <c r="B134" s="65"/>
      <c r="C134" s="14"/>
      <c r="D134" s="66"/>
      <c r="E134" s="66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</row>
    <row r="135" spans="1:20" x14ac:dyDescent="0.2">
      <c r="A135" s="65"/>
      <c r="B135" s="65"/>
      <c r="C135" s="14"/>
      <c r="D135" s="66"/>
      <c r="E135" s="66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</row>
    <row r="136" spans="1:20" x14ac:dyDescent="0.2">
      <c r="A136" s="65"/>
      <c r="B136" s="65"/>
      <c r="C136" s="14"/>
      <c r="D136" s="66"/>
      <c r="E136" s="66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</row>
    <row r="137" spans="1:20" x14ac:dyDescent="0.2">
      <c r="A137" s="65"/>
      <c r="B137" s="65"/>
      <c r="C137" s="14"/>
      <c r="D137" s="66"/>
      <c r="E137" s="66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</row>
    <row r="138" spans="1:20" x14ac:dyDescent="0.2">
      <c r="A138" s="65"/>
      <c r="B138" s="65"/>
      <c r="C138" s="14"/>
      <c r="D138" s="66"/>
      <c r="E138" s="66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</row>
    <row r="139" spans="1:20" x14ac:dyDescent="0.2">
      <c r="A139" s="65"/>
      <c r="B139" s="65"/>
      <c r="C139" s="14"/>
      <c r="D139" s="66"/>
      <c r="E139" s="66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</row>
    <row r="140" spans="1:20" x14ac:dyDescent="0.2">
      <c r="A140" s="65"/>
      <c r="B140" s="65"/>
      <c r="C140" s="14"/>
      <c r="D140" s="66"/>
      <c r="E140" s="66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</row>
    <row r="141" spans="1:20" x14ac:dyDescent="0.2">
      <c r="A141" s="65"/>
      <c r="B141" s="65"/>
      <c r="C141" s="14"/>
      <c r="D141" s="66"/>
      <c r="E141" s="66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</row>
    <row r="142" spans="1:20" x14ac:dyDescent="0.2">
      <c r="A142" s="65"/>
      <c r="B142" s="65"/>
      <c r="C142" s="14"/>
      <c r="D142" s="66"/>
      <c r="E142" s="66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</row>
    <row r="143" spans="1:20" x14ac:dyDescent="0.2">
      <c r="A143" s="65"/>
      <c r="B143" s="65"/>
      <c r="C143" s="14"/>
      <c r="D143" s="66"/>
      <c r="E143" s="66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</row>
    <row r="144" spans="1:20" x14ac:dyDescent="0.2">
      <c r="A144" s="65"/>
      <c r="B144" s="65"/>
      <c r="C144" s="14"/>
      <c r="D144" s="66"/>
      <c r="E144" s="66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</row>
    <row r="145" spans="1:20" x14ac:dyDescent="0.2">
      <c r="A145" s="65"/>
      <c r="B145" s="65"/>
      <c r="C145" s="14"/>
      <c r="D145" s="66"/>
      <c r="E145" s="66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</row>
    <row r="146" spans="1:20" x14ac:dyDescent="0.2">
      <c r="A146" s="65"/>
      <c r="B146" s="65"/>
      <c r="C146" s="14"/>
      <c r="D146" s="66"/>
      <c r="E146" s="66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</row>
    <row r="147" spans="1:20" x14ac:dyDescent="0.2">
      <c r="A147" s="65"/>
      <c r="B147" s="65"/>
      <c r="C147" s="14"/>
      <c r="D147" s="66"/>
      <c r="E147" s="66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</row>
    <row r="148" spans="1:20" x14ac:dyDescent="0.2">
      <c r="A148" s="65"/>
      <c r="B148" s="65"/>
      <c r="C148" s="14"/>
      <c r="D148" s="66"/>
      <c r="E148" s="66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</row>
    <row r="149" spans="1:20" x14ac:dyDescent="0.2">
      <c r="A149" s="65"/>
      <c r="B149" s="65"/>
      <c r="C149" s="14"/>
      <c r="D149" s="66"/>
      <c r="E149" s="66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</row>
    <row r="150" spans="1:20" x14ac:dyDescent="0.2">
      <c r="A150" s="65"/>
      <c r="B150" s="65"/>
      <c r="C150" s="14"/>
      <c r="D150" s="66"/>
      <c r="E150" s="66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</row>
    <row r="151" spans="1:20" x14ac:dyDescent="0.2">
      <c r="A151" s="65"/>
      <c r="B151" s="65"/>
      <c r="C151" s="14"/>
      <c r="D151" s="66"/>
      <c r="E151" s="66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</row>
    <row r="152" spans="1:20" x14ac:dyDescent="0.2">
      <c r="A152" s="65"/>
      <c r="B152" s="65"/>
      <c r="C152" s="14"/>
      <c r="D152" s="66"/>
      <c r="E152" s="66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</row>
    <row r="153" spans="1:20" x14ac:dyDescent="0.2">
      <c r="A153" s="65"/>
      <c r="B153" s="65"/>
      <c r="C153" s="14"/>
      <c r="D153" s="66"/>
      <c r="E153" s="66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</row>
    <row r="154" spans="1:20" x14ac:dyDescent="0.2">
      <c r="A154" s="65"/>
      <c r="B154" s="65"/>
      <c r="C154" s="14"/>
      <c r="D154" s="66"/>
      <c r="E154" s="66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</row>
    <row r="155" spans="1:20" x14ac:dyDescent="0.2">
      <c r="A155" s="65"/>
      <c r="B155" s="65"/>
      <c r="C155" s="14"/>
      <c r="D155" s="66"/>
      <c r="E155" s="66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</row>
    <row r="156" spans="1:20" x14ac:dyDescent="0.2">
      <c r="A156" s="65"/>
      <c r="B156" s="65"/>
      <c r="C156" s="14"/>
      <c r="D156" s="66"/>
      <c r="E156" s="66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</row>
    <row r="157" spans="1:20" x14ac:dyDescent="0.2">
      <c r="A157" s="65"/>
      <c r="B157" s="65"/>
      <c r="C157" s="14"/>
      <c r="D157" s="66"/>
      <c r="E157" s="66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</row>
    <row r="158" spans="1:20" x14ac:dyDescent="0.2">
      <c r="A158" s="65"/>
      <c r="B158" s="65"/>
      <c r="C158" s="14"/>
      <c r="D158" s="66"/>
      <c r="E158" s="66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</row>
    <row r="159" spans="1:20" x14ac:dyDescent="0.2">
      <c r="A159" s="65"/>
      <c r="B159" s="65"/>
      <c r="C159" s="14"/>
      <c r="D159" s="66"/>
      <c r="E159" s="66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</row>
    <row r="160" spans="1:20" x14ac:dyDescent="0.2">
      <c r="A160" s="65"/>
      <c r="B160" s="65"/>
      <c r="C160" s="14"/>
      <c r="D160" s="66"/>
      <c r="E160" s="66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</row>
    <row r="161" spans="1:20" x14ac:dyDescent="0.2">
      <c r="A161" s="65"/>
      <c r="B161" s="65"/>
      <c r="C161" s="14"/>
      <c r="D161" s="66"/>
      <c r="E161" s="66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</row>
    <row r="162" spans="1:20" x14ac:dyDescent="0.2">
      <c r="A162" s="65"/>
      <c r="B162" s="65"/>
      <c r="C162" s="14"/>
      <c r="D162" s="66"/>
      <c r="E162" s="66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BAV</vt:lpstr>
      <vt:lpstr>Q_fit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2024-01-29T04:33:57Z</dcterms:modified>
</cp:coreProperties>
</file>