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244A50-C76F-4F62-949C-9A71956097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2" r:id="rId2"/>
    <sheet name="BAV" sheetId="4" r:id="rId3"/>
  </sheets>
  <calcPr calcId="181029"/>
</workbook>
</file>

<file path=xl/calcChain.xml><?xml version="1.0" encoding="utf-8"?>
<calcChain xmlns="http://schemas.openxmlformats.org/spreadsheetml/2006/main">
  <c r="G30" i="4" l="1"/>
  <c r="C30" i="4"/>
  <c r="E30" i="4"/>
  <c r="G29" i="4"/>
  <c r="C29" i="4"/>
  <c r="E29" i="4"/>
  <c r="C7" i="3"/>
  <c r="E41" i="3"/>
  <c r="F41" i="3"/>
  <c r="G41" i="3"/>
  <c r="K41" i="3"/>
  <c r="E43" i="3"/>
  <c r="G28" i="4"/>
  <c r="C28" i="4"/>
  <c r="E28" i="4"/>
  <c r="G27" i="4"/>
  <c r="C27" i="4"/>
  <c r="E27" i="4"/>
  <c r="E42" i="3"/>
  <c r="G26" i="4"/>
  <c r="C26" i="4"/>
  <c r="E26" i="4"/>
  <c r="G25" i="4"/>
  <c r="C25" i="4"/>
  <c r="E25" i="4"/>
  <c r="E40" i="3"/>
  <c r="G24" i="4"/>
  <c r="C24" i="4"/>
  <c r="G23" i="4"/>
  <c r="C23" i="4"/>
  <c r="E23" i="4"/>
  <c r="E46" i="3"/>
  <c r="G22" i="4"/>
  <c r="C22" i="4"/>
  <c r="G21" i="4"/>
  <c r="C21" i="4"/>
  <c r="E21" i="4"/>
  <c r="E37" i="3"/>
  <c r="F37" i="3"/>
  <c r="G37" i="3"/>
  <c r="K37" i="3"/>
  <c r="G20" i="4"/>
  <c r="C20" i="4"/>
  <c r="G19" i="4"/>
  <c r="C19" i="4"/>
  <c r="E19" i="4"/>
  <c r="E35" i="3"/>
  <c r="G18" i="4"/>
  <c r="C18" i="4"/>
  <c r="G17" i="4"/>
  <c r="C17" i="4"/>
  <c r="E17" i="4"/>
  <c r="E33" i="3"/>
  <c r="G16" i="4"/>
  <c r="C16" i="4"/>
  <c r="G15" i="4"/>
  <c r="C15" i="4"/>
  <c r="E15" i="4"/>
  <c r="E31" i="3"/>
  <c r="G14" i="4"/>
  <c r="C14" i="4"/>
  <c r="G13" i="4"/>
  <c r="C13" i="4"/>
  <c r="E13" i="4"/>
  <c r="E29" i="3"/>
  <c r="G12" i="4"/>
  <c r="C12" i="4"/>
  <c r="G11" i="4"/>
  <c r="C11" i="4"/>
  <c r="E11" i="4"/>
  <c r="E27" i="3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C9" i="3"/>
  <c r="D9" i="3"/>
  <c r="E23" i="3"/>
  <c r="F23" i="3"/>
  <c r="G23" i="3"/>
  <c r="K23" i="3"/>
  <c r="E24" i="3"/>
  <c r="F24" i="3"/>
  <c r="E25" i="3"/>
  <c r="F25" i="3"/>
  <c r="G25" i="3"/>
  <c r="K25" i="3"/>
  <c r="E26" i="3"/>
  <c r="F26" i="3"/>
  <c r="G26" i="3"/>
  <c r="F27" i="3"/>
  <c r="F29" i="3"/>
  <c r="G29" i="3"/>
  <c r="K29" i="3"/>
  <c r="F31" i="3"/>
  <c r="F35" i="3"/>
  <c r="G35" i="3"/>
  <c r="J35" i="3"/>
  <c r="F40" i="3"/>
  <c r="F42" i="3"/>
  <c r="G42" i="3"/>
  <c r="K42" i="3"/>
  <c r="F43" i="3"/>
  <c r="G43" i="3"/>
  <c r="K43" i="3"/>
  <c r="E44" i="3"/>
  <c r="F44" i="3"/>
  <c r="G44" i="3"/>
  <c r="K44" i="3"/>
  <c r="E45" i="3"/>
  <c r="F45" i="3"/>
  <c r="G45" i="3"/>
  <c r="K45" i="3"/>
  <c r="F46" i="3"/>
  <c r="G46" i="3"/>
  <c r="K46" i="3"/>
  <c r="F33" i="3"/>
  <c r="E21" i="3"/>
  <c r="F21" i="3"/>
  <c r="G21" i="3"/>
  <c r="H21" i="3"/>
  <c r="F16" i="3"/>
  <c r="F17" i="3" s="1"/>
  <c r="Q46" i="3"/>
  <c r="Q43" i="3"/>
  <c r="Q44" i="3"/>
  <c r="Q45" i="3"/>
  <c r="Q42" i="3"/>
  <c r="Q41" i="3"/>
  <c r="Q36" i="3"/>
  <c r="Q37" i="3"/>
  <c r="Q38" i="3"/>
  <c r="Q35" i="3"/>
  <c r="Q39" i="3"/>
  <c r="Q40" i="3"/>
  <c r="C17" i="3"/>
  <c r="Q29" i="3"/>
  <c r="Q30" i="3"/>
  <c r="Q31" i="3"/>
  <c r="Q33" i="3"/>
  <c r="Q34" i="3"/>
  <c r="E35" i="2"/>
  <c r="F35" i="2"/>
  <c r="Q35" i="2"/>
  <c r="E30" i="2"/>
  <c r="F30" i="2"/>
  <c r="E31" i="2"/>
  <c r="F31" i="2"/>
  <c r="G31" i="2"/>
  <c r="I31" i="2"/>
  <c r="E32" i="2"/>
  <c r="F32" i="2"/>
  <c r="E34" i="2"/>
  <c r="F34" i="2"/>
  <c r="G34" i="2"/>
  <c r="I34" i="2"/>
  <c r="E22" i="2"/>
  <c r="F22" i="2"/>
  <c r="E23" i="2"/>
  <c r="F23" i="2"/>
  <c r="G23" i="2"/>
  <c r="I23" i="2"/>
  <c r="E24" i="2"/>
  <c r="F24" i="2"/>
  <c r="G24" i="2"/>
  <c r="I24" i="2"/>
  <c r="E26" i="2"/>
  <c r="F26" i="2"/>
  <c r="G26" i="2"/>
  <c r="I26" i="2"/>
  <c r="E27" i="2"/>
  <c r="F27" i="2"/>
  <c r="E29" i="2"/>
  <c r="F29" i="2"/>
  <c r="G29" i="2"/>
  <c r="I29" i="2"/>
  <c r="Q30" i="2"/>
  <c r="Q31" i="2"/>
  <c r="Q32" i="2"/>
  <c r="Q33" i="2"/>
  <c r="Q34" i="2"/>
  <c r="C19" i="2"/>
  <c r="Q21" i="3"/>
  <c r="Q22" i="3"/>
  <c r="Q23" i="3"/>
  <c r="Q24" i="3"/>
  <c r="Q25" i="3"/>
  <c r="K26" i="3"/>
  <c r="Q26" i="3"/>
  <c r="Q27" i="3"/>
  <c r="Q28" i="3"/>
  <c r="Q32" i="3"/>
  <c r="Q27" i="2"/>
  <c r="Q28" i="2"/>
  <c r="C15" i="2"/>
  <c r="C7" i="2"/>
  <c r="G32" i="2"/>
  <c r="I32" i="2"/>
  <c r="C18" i="2"/>
  <c r="E21" i="2"/>
  <c r="G21" i="2"/>
  <c r="H21" i="2"/>
  <c r="Q21" i="2"/>
  <c r="Q22" i="2"/>
  <c r="Q23" i="2"/>
  <c r="Q25" i="2"/>
  <c r="Q24" i="2"/>
  <c r="Q26" i="2"/>
  <c r="Q29" i="2"/>
  <c r="E16" i="4"/>
  <c r="E12" i="4"/>
  <c r="E24" i="4"/>
  <c r="G22" i="2"/>
  <c r="E33" i="2"/>
  <c r="F33" i="2"/>
  <c r="G33" i="2"/>
  <c r="I33" i="2"/>
  <c r="G35" i="2"/>
  <c r="J35" i="2"/>
  <c r="E28" i="2"/>
  <c r="F28" i="2"/>
  <c r="G28" i="2"/>
  <c r="I28" i="2"/>
  <c r="G30" i="2"/>
  <c r="I30" i="2"/>
  <c r="G27" i="2"/>
  <c r="I27" i="2"/>
  <c r="E25" i="2"/>
  <c r="F25" i="2"/>
  <c r="G25" i="2"/>
  <c r="I25" i="2"/>
  <c r="G40" i="3"/>
  <c r="J40" i="3"/>
  <c r="G31" i="3"/>
  <c r="K31" i="3"/>
  <c r="G27" i="3"/>
  <c r="K27" i="3"/>
  <c r="G24" i="3"/>
  <c r="K24" i="3"/>
  <c r="E22" i="3"/>
  <c r="F22" i="3"/>
  <c r="G22" i="3"/>
  <c r="E28" i="3"/>
  <c r="F28" i="3"/>
  <c r="G28" i="3"/>
  <c r="K28" i="3"/>
  <c r="E30" i="3"/>
  <c r="F30" i="3"/>
  <c r="G30" i="3"/>
  <c r="K30" i="3"/>
  <c r="E32" i="3"/>
  <c r="F32" i="3"/>
  <c r="G32" i="3"/>
  <c r="K32" i="3"/>
  <c r="E34" i="3"/>
  <c r="F34" i="3"/>
  <c r="G34" i="3"/>
  <c r="K34" i="3"/>
  <c r="E36" i="3"/>
  <c r="F36" i="3"/>
  <c r="G36" i="3"/>
  <c r="K36" i="3"/>
  <c r="E38" i="3"/>
  <c r="F38" i="3"/>
  <c r="G38" i="3"/>
  <c r="K38" i="3"/>
  <c r="E39" i="3"/>
  <c r="F39" i="3"/>
  <c r="G39" i="3"/>
  <c r="K39" i="3"/>
  <c r="E22" i="4"/>
  <c r="I22" i="2"/>
  <c r="C11" i="2"/>
  <c r="C12" i="2"/>
  <c r="C16" i="2"/>
  <c r="D18" i="2"/>
  <c r="E14" i="4"/>
  <c r="K22" i="3"/>
  <c r="E18" i="4"/>
  <c r="E20" i="4"/>
  <c r="O30" i="2"/>
  <c r="O26" i="2"/>
  <c r="O31" i="2"/>
  <c r="O29" i="2"/>
  <c r="O22" i="2"/>
  <c r="O33" i="2"/>
  <c r="O21" i="2"/>
  <c r="O25" i="2"/>
  <c r="O27" i="2"/>
  <c r="O34" i="2"/>
  <c r="O23" i="2"/>
  <c r="O24" i="2"/>
  <c r="O35" i="2"/>
  <c r="O32" i="2"/>
  <c r="O28" i="2"/>
  <c r="C12" i="3"/>
  <c r="C11" i="3"/>
  <c r="O31" i="3" l="1"/>
  <c r="O21" i="3"/>
  <c r="O23" i="3"/>
  <c r="O25" i="3"/>
  <c r="O36" i="3"/>
  <c r="O32" i="3"/>
  <c r="O46" i="3"/>
  <c r="O42" i="3"/>
  <c r="O24" i="3"/>
  <c r="O38" i="3"/>
  <c r="O34" i="3"/>
  <c r="O44" i="3"/>
  <c r="O29" i="3"/>
  <c r="C15" i="3"/>
  <c r="O37" i="3"/>
  <c r="O33" i="3"/>
  <c r="O45" i="3"/>
  <c r="O27" i="3"/>
  <c r="O26" i="3"/>
  <c r="O28" i="3"/>
  <c r="O22" i="3"/>
  <c r="O30" i="3"/>
  <c r="O41" i="3"/>
  <c r="O35" i="3"/>
  <c r="O43" i="3"/>
  <c r="O39" i="3"/>
  <c r="O40" i="3"/>
  <c r="C16" i="3"/>
  <c r="D18" i="3" s="1"/>
  <c r="F18" i="3" l="1"/>
  <c r="F19" i="3" s="1"/>
  <c r="C18" i="3"/>
</calcChain>
</file>

<file path=xl/sharedStrings.xml><?xml version="1.0" encoding="utf-8"?>
<sst xmlns="http://schemas.openxmlformats.org/spreadsheetml/2006/main" count="361" uniqueCount="152">
  <si>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</si>
  <si>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</si>
  <si>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</si>
  <si>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</si>
  <si>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</si>
  <si>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</si>
  <si>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</si>
  <si>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</si>
  <si>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</si>
  <si>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</si>
  <si>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</si>
  <si>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</si>
  <si>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</si>
  <si>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</si>
  <si>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</si>
  <si>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</si>
  <si>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</si>
  <si>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</si>
  <si>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</si>
  <si>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</si>
  <si>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</si>
  <si>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</si>
  <si>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</si>
  <si>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</si>
  <si>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</si>
  <si>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</si>
  <si>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</si>
  <si>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</si>
  <si>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</si>
  <si>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</si>
  <si>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II</t>
  </si>
  <si>
    <t>I</t>
  </si>
  <si>
    <t>IBVS 5095</t>
  </si>
  <si>
    <t>IBVS</t>
  </si>
  <si>
    <t>EW/KW</t>
  </si>
  <si>
    <t>FAINT!!</t>
  </si>
  <si>
    <t>15.2-15.5</t>
  </si>
  <si>
    <t>Krajci, priv.comm.</t>
  </si>
  <si>
    <t>IBVS 5579</t>
  </si>
  <si>
    <t>IBVS 5592</t>
  </si>
  <si>
    <t>AQ Com / na</t>
  </si>
  <si>
    <t>IBVS 5684</t>
  </si>
  <si>
    <t>Krajci</t>
  </si>
  <si>
    <t>AQ Com / GSC 01448-01046</t>
  </si>
  <si>
    <t>IBVS 5894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</si>
  <si>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</si>
  <si>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</si>
  <si>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</si>
  <si>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</si>
  <si>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</si>
  <si>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</si>
  <si>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</si>
  <si>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5945</t>
  </si>
  <si>
    <t>IBVS 5918</t>
  </si>
  <si>
    <t>IBVS 5992</t>
  </si>
  <si>
    <t>IBVS 6010</t>
  </si>
  <si>
    <t>IBVS 6029</t>
  </si>
  <si>
    <t>IBVS 6063</t>
  </si>
  <si>
    <t>s</t>
  </si>
  <si>
    <t>IBVS 6118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</si>
  <si>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</si>
  <si>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</si>
  <si>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</si>
  <si>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</si>
  <si>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</si>
  <si>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</si>
  <si>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</si>
  <si>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</si>
  <si>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</si>
  <si>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</si>
  <si>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</si>
  <si>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</si>
  <si>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</si>
  <si>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2452731.3728 </t>
  </si>
  <si>
    <t> 01.04.2003 20:56 </t>
  </si>
  <si>
    <t> 0.0153 </t>
  </si>
  <si>
    <t>E </t>
  </si>
  <si>
    <t>?</t>
  </si>
  <si>
    <t> T.Borkovits et al. </t>
  </si>
  <si>
    <t>IBVS 5579 </t>
  </si>
  <si>
    <t>2452731.5132 </t>
  </si>
  <si>
    <t> 02.04.2003 00:19 </t>
  </si>
  <si>
    <t> 0.0147 </t>
  </si>
  <si>
    <t>2453081.347 </t>
  </si>
  <si>
    <t> 16.03.2004 20:19 </t>
  </si>
  <si>
    <t> 0.069 </t>
  </si>
  <si>
    <t> I.Biro et al. </t>
  </si>
  <si>
    <t>IBVS 5684 </t>
  </si>
  <si>
    <t>2453081.4897 </t>
  </si>
  <si>
    <t> 16.03.2004 23:45 </t>
  </si>
  <si>
    <t> 0.0709 </t>
  </si>
  <si>
    <t>2453081.6283 </t>
  </si>
  <si>
    <t> 17.03.2004 03:04 </t>
  </si>
  <si>
    <t> 0.0685 </t>
  </si>
  <si>
    <t>2453123.2660 </t>
  </si>
  <si>
    <t> 27.04.2004 18:23 </t>
  </si>
  <si>
    <t> 0.0994 </t>
  </si>
  <si>
    <t> T.Krajci </t>
  </si>
  <si>
    <t>IBVS 5592 </t>
  </si>
  <si>
    <t>2453464.386 </t>
  </si>
  <si>
    <t> 03.04.2005 21:15 </t>
  </si>
  <si>
    <t> 0.044 </t>
  </si>
  <si>
    <t>2453464.5183 </t>
  </si>
  <si>
    <t> 04.04.2005 00:26 </t>
  </si>
  <si>
    <t> 0.0349 </t>
  </si>
  <si>
    <t>2454831.6443 </t>
  </si>
  <si>
    <t> 31.12.2008 03:27 </t>
  </si>
  <si>
    <t> 0.0602 </t>
  </si>
  <si>
    <t>C </t>
  </si>
  <si>
    <t>o</t>
  </si>
  <si>
    <t> W.Moschner &amp; P.Frank </t>
  </si>
  <si>
    <t>BAVM 209 </t>
  </si>
  <si>
    <t>2454881.8582 </t>
  </si>
  <si>
    <t> 19.02.2009 08:35 </t>
  </si>
  <si>
    <t> 0.0638 </t>
  </si>
  <si>
    <t> R.Diethelm </t>
  </si>
  <si>
    <t>IBVS 5894 </t>
  </si>
  <si>
    <t>2454957.6775 </t>
  </si>
  <si>
    <t> 06.05.2009 04:15 </t>
  </si>
  <si>
    <t> 0.1447 </t>
  </si>
  <si>
    <t>2455276.7070 </t>
  </si>
  <si>
    <t> 21.03.2010 04:58 </t>
  </si>
  <si>
    <t> 0.1417 </t>
  </si>
  <si>
    <t>IBVS 5945 </t>
  </si>
  <si>
    <t>2455279.3836 </t>
  </si>
  <si>
    <t> 23.03.2010 21:12 </t>
  </si>
  <si>
    <t> -0.0025 </t>
  </si>
  <si>
    <t>BAVM 234 </t>
  </si>
  <si>
    <t>2455615.8518 </t>
  </si>
  <si>
    <t> 23.02.2011 08:26 </t>
  </si>
  <si>
    <t> 0.0853 </t>
  </si>
  <si>
    <t>IBVS 5992 </t>
  </si>
  <si>
    <t>2455628.5127 </t>
  </si>
  <si>
    <t> 08.03.2011 00:18 </t>
  </si>
  <si>
    <t> 0.0526 </t>
  </si>
  <si>
    <t>BAVM 220 </t>
  </si>
  <si>
    <t>2455981.8645 </t>
  </si>
  <si>
    <t> 24.02.2012 08:44 </t>
  </si>
  <si>
    <t> 0.0992 </t>
  </si>
  <si>
    <t>IBVS 6029 </t>
  </si>
  <si>
    <t>2456048.6829 </t>
  </si>
  <si>
    <t> 01.05.2012 04:23 </t>
  </si>
  <si>
    <t> 0.0646 </t>
  </si>
  <si>
    <t>2456338.8744 </t>
  </si>
  <si>
    <t> 15.02.2013 08:59 </t>
  </si>
  <si>
    <t> -0.0042 </t>
  </si>
  <si>
    <t>R</t>
  </si>
  <si>
    <t>IBVS 6063 </t>
  </si>
  <si>
    <t>B</t>
  </si>
  <si>
    <t>2456338.8748 </t>
  </si>
  <si>
    <t> -0.0038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</si>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</sst>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/>
    <xf numFmtId="0" fontId="0" fillId="0" borderId="0" xfId="0" quotePrefix="1" applyAlignment="1"/>
    <xf numFmtId="0" fontId="0" fillId="0" borderId="0" xfId="0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10" fillId="0" borderId="0" xfId="0" applyFont="1" applyAlignment="1"/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4" xfId="0" applyFont="1" applyBorder="1" applyAlignment="1">
      <alignment horizontal="center"/>
    </xf>
    <xf numFmtId="0" fontId="16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Com - O-C Diagr.</a:t>
            </a:r>
          </a:p>
        </c:rich>
      </c:tx>
      <c:layout>
        <c:manualLayout>
          <c:xMode val="edge"/>
          <c:yMode val="edge"/>
          <c:x val="0.371382974234330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2552056552747"/>
          <c:y val="0.14769252958613219"/>
          <c:w val="0.7942128421209635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AC-490D-A8FB-B536B19CA4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AC-490D-A8FB-B536B19CA4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4">
                  <c:v>-8.0015246785478666E-3</c:v>
                </c:pt>
                <c:pt idx="19">
                  <c:v>-1.0147325396246742E-2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AC-490D-A8FB-B536B19CA4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-2.6316105868318118E-3</c:v>
                </c:pt>
                <c:pt idx="2">
                  <c:v>3.6838941014138982E-4</c:v>
                </c:pt>
                <c:pt idx="3">
                  <c:v>-4.0907139627961442E-3</c:v>
                </c:pt>
                <c:pt idx="4">
                  <c:v>-3.0907139589544386E-3</c:v>
                </c:pt>
                <c:pt idx="5">
                  <c:v>-1.7488498051534407E-3</c:v>
                </c:pt>
                <c:pt idx="6">
                  <c:v>-1.6340312286047265E-3</c:v>
                </c:pt>
                <c:pt idx="7">
                  <c:v>-1.8996174185303971E-3</c:v>
                </c:pt>
                <c:pt idx="8">
                  <c:v>-3.4124870362575166E-3</c:v>
                </c:pt>
                <c:pt idx="9">
                  <c:v>-1.378073233354371E-3</c:v>
                </c:pt>
                <c:pt idx="10">
                  <c:v>-3.4436594287399203E-3</c:v>
                </c:pt>
                <c:pt idx="11">
                  <c:v>-2.7571734608500265E-3</c:v>
                </c:pt>
                <c:pt idx="13">
                  <c:v>-5.1692851193365641E-3</c:v>
                </c:pt>
                <c:pt idx="15">
                  <c:v>-1.1715796674252488E-2</c:v>
                </c:pt>
                <c:pt idx="16">
                  <c:v>-1.1166756354214158E-2</c:v>
                </c:pt>
                <c:pt idx="17">
                  <c:v>-1.1216249033168424E-2</c:v>
                </c:pt>
                <c:pt idx="18">
                  <c:v>-1.1144567746669054E-2</c:v>
                </c:pt>
                <c:pt idx="20">
                  <c:v>-1.0299849898729008E-2</c:v>
                </c:pt>
                <c:pt idx="21">
                  <c:v>-8.053293036937248E-3</c:v>
                </c:pt>
                <c:pt idx="22">
                  <c:v>-9.6576155192451552E-3</c:v>
                </c:pt>
                <c:pt idx="23">
                  <c:v>-9.6276155163650401E-3</c:v>
                </c:pt>
                <c:pt idx="24">
                  <c:v>-9.2276155191939324E-3</c:v>
                </c:pt>
                <c:pt idx="25">
                  <c:v>-7.2623867599759251E-3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AC-490D-A8FB-B536B19CA4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AC-490D-A8FB-B536B19CA4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AC-490D-A8FB-B536B19CA4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5.0000000000000001E-4</c:v>
                  </c:pt>
                  <c:pt idx="18">
                    <c:v>8.9999999999999998E-4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1.2999999999999999E-3</c:v>
                  </c:pt>
                  <c:pt idx="22">
                    <c:v>3.8000000000000002E-4</c:v>
                  </c:pt>
                  <c:pt idx="23">
                    <c:v>6.7000000000000002E-4</c:v>
                  </c:pt>
                  <c:pt idx="24">
                    <c:v>3.2000000000000003E-4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AC-490D-A8FB-B536B19CA4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5.0640773710812159E-2</c:v>
                </c:pt>
                <c:pt idx="1">
                  <c:v>-1.5891567868655254E-3</c:v>
                </c:pt>
                <c:pt idx="2">
                  <c:v>-1.5891567868655254E-3</c:v>
                </c:pt>
                <c:pt idx="3">
                  <c:v>-1.5912336888258341E-3</c:v>
                </c:pt>
                <c:pt idx="4">
                  <c:v>-1.5912336888258341E-3</c:v>
                </c:pt>
                <c:pt idx="5">
                  <c:v>-1.6484968428741587E-3</c:v>
                </c:pt>
                <c:pt idx="6">
                  <c:v>-3.2910295931930927E-3</c:v>
                </c:pt>
                <c:pt idx="7">
                  <c:v>-3.2913262934731388E-3</c:v>
                </c:pt>
                <c:pt idx="8">
                  <c:v>-4.029219889940476E-3</c:v>
                </c:pt>
                <c:pt idx="9">
                  <c:v>-4.0295165902205152E-3</c:v>
                </c:pt>
                <c:pt idx="10">
                  <c:v>-4.0298132905005613E-3</c:v>
                </c:pt>
                <c:pt idx="11">
                  <c:v>-4.1176365733933337E-3</c:v>
                </c:pt>
                <c:pt idx="12">
                  <c:v>-4.8371347524980013E-3</c:v>
                </c:pt>
                <c:pt idx="13">
                  <c:v>-4.8374314527780404E-3</c:v>
                </c:pt>
                <c:pt idx="14">
                  <c:v>-7.7210614745175099E-3</c:v>
                </c:pt>
                <c:pt idx="15">
                  <c:v>-7.8269834744929198E-3</c:v>
                </c:pt>
                <c:pt idx="16">
                  <c:v>-7.9869049254361821E-3</c:v>
                </c:pt>
                <c:pt idx="17">
                  <c:v>-8.659821160574073E-3</c:v>
                </c:pt>
                <c:pt idx="18">
                  <c:v>-9.3751655357581301E-3</c:v>
                </c:pt>
                <c:pt idx="19">
                  <c:v>-9.4018685609620137E-3</c:v>
                </c:pt>
                <c:pt idx="20">
                  <c:v>-1.0147179664430434E-2</c:v>
                </c:pt>
                <c:pt idx="21">
                  <c:v>-1.0288112297450934E-2</c:v>
                </c:pt>
                <c:pt idx="22">
                  <c:v>-1.0900204975179968E-2</c:v>
                </c:pt>
                <c:pt idx="23">
                  <c:v>-1.0900204975179968E-2</c:v>
                </c:pt>
                <c:pt idx="24">
                  <c:v>-1.0900204975179968E-2</c:v>
                </c:pt>
                <c:pt idx="25">
                  <c:v>-8.665458465894893E-3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AC-490D-A8FB-B536B19CA4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-0.5</c:v>
                </c:pt>
                <c:pt idx="1">
                  <c:v>88017.5</c:v>
                </c:pt>
                <c:pt idx="2">
                  <c:v>88017.5</c:v>
                </c:pt>
                <c:pt idx="3">
                  <c:v>88021</c:v>
                </c:pt>
                <c:pt idx="4">
                  <c:v>88021</c:v>
                </c:pt>
                <c:pt idx="5">
                  <c:v>88117.5</c:v>
                </c:pt>
                <c:pt idx="6">
                  <c:v>90885.5</c:v>
                </c:pt>
                <c:pt idx="7">
                  <c:v>90886</c:v>
                </c:pt>
                <c:pt idx="8">
                  <c:v>92129.5</c:v>
                </c:pt>
                <c:pt idx="9">
                  <c:v>92130</c:v>
                </c:pt>
                <c:pt idx="10">
                  <c:v>92130.5</c:v>
                </c:pt>
                <c:pt idx="11">
                  <c:v>92278.5</c:v>
                </c:pt>
                <c:pt idx="12">
                  <c:v>93491</c:v>
                </c:pt>
                <c:pt idx="13">
                  <c:v>93491.5</c:v>
                </c:pt>
                <c:pt idx="14">
                  <c:v>98351</c:v>
                </c:pt>
                <c:pt idx="15">
                  <c:v>98529.5</c:v>
                </c:pt>
                <c:pt idx="16">
                  <c:v>98799</c:v>
                </c:pt>
                <c:pt idx="17">
                  <c:v>99933</c:v>
                </c:pt>
                <c:pt idx="18">
                  <c:v>101138.5</c:v>
                </c:pt>
                <c:pt idx="19">
                  <c:v>101183.5</c:v>
                </c:pt>
                <c:pt idx="20">
                  <c:v>102439.5</c:v>
                </c:pt>
                <c:pt idx="21">
                  <c:v>102677</c:v>
                </c:pt>
                <c:pt idx="22">
                  <c:v>103708.5</c:v>
                </c:pt>
                <c:pt idx="23">
                  <c:v>103708.5</c:v>
                </c:pt>
                <c:pt idx="24">
                  <c:v>103708.5</c:v>
                </c:pt>
                <c:pt idx="25">
                  <c:v>99942.5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2">
                  <c:v>3.1963010769686662E-3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AC-490D-A8FB-B536B19CA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56784"/>
        <c:axId val="1"/>
      </c:scatterChart>
      <c:valAx>
        <c:axId val="547656784"/>
        <c:scaling>
          <c:orientation val="minMax"/>
          <c:max val="110000"/>
          <c:min val="8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3315272889923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56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77187296925505"/>
          <c:y val="0.92000129214617399"/>
          <c:w val="0.773312572262872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Com - O-C Diagr.</a:t>
            </a:r>
          </a:p>
        </c:rich>
      </c:tx>
      <c:layout>
        <c:manualLayout>
          <c:xMode val="edge"/>
          <c:yMode val="edge"/>
          <c:x val="0.3347111776317216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0.84402000000045518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EE-4BCE-9672-6CAFC14F5BD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6.4400000002933666E-2</c:v>
                </c:pt>
                <c:pt idx="2">
                  <c:v>6.7399999999906868E-2</c:v>
                </c:pt>
                <c:pt idx="3">
                  <c:v>6.2910000000556465E-2</c:v>
                </c:pt>
                <c:pt idx="4">
                  <c:v>6.3910000004398171E-2</c:v>
                </c:pt>
                <c:pt idx="5">
                  <c:v>6.4400000002933666E-2</c:v>
                </c:pt>
                <c:pt idx="6">
                  <c:v>4.0079999998852145E-2</c:v>
                </c:pt>
                <c:pt idx="7">
                  <c:v>3.981000000203494E-2</c:v>
                </c:pt>
                <c:pt idx="8">
                  <c:v>2.666000000317581E-2</c:v>
                </c:pt>
                <c:pt idx="9">
                  <c:v>2.7320000001054723E-2</c:v>
                </c:pt>
                <c:pt idx="10">
                  <c:v>2.9350000004342292E-2</c:v>
                </c:pt>
                <c:pt idx="11">
                  <c:v>2.727999999478925E-2</c:v>
                </c:pt>
                <c:pt idx="12">
                  <c:v>2.1909999995841645E-2</c:v>
                </c:pt>
                <c:pt idx="13">
                  <c:v>1.3540000007196795E-2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EE-4BCE-9672-6CAFC14F5BDF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4">
                  <c:v>2.666000000317581E-2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EE-4BCE-9672-6CAFC14F5BDF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EE-4BCE-9672-6CAFC14F5BDF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EE-4BCE-9672-6CAFC14F5BDF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EE-4BCE-9672-6CAFC14F5BDF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6.9999999999999999E-4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1E-3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EE-4BCE-9672-6CAFC14F5BDF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-3.5</c:v>
                </c:pt>
                <c:pt idx="1">
                  <c:v>88014.5</c:v>
                </c:pt>
                <c:pt idx="2">
                  <c:v>88014.5</c:v>
                </c:pt>
                <c:pt idx="3">
                  <c:v>88018</c:v>
                </c:pt>
                <c:pt idx="4">
                  <c:v>88018</c:v>
                </c:pt>
                <c:pt idx="5">
                  <c:v>88114.5</c:v>
                </c:pt>
                <c:pt idx="6">
                  <c:v>90882.5</c:v>
                </c:pt>
                <c:pt idx="7">
                  <c:v>90883</c:v>
                </c:pt>
                <c:pt idx="8">
                  <c:v>92275.5</c:v>
                </c:pt>
                <c:pt idx="9">
                  <c:v>92126.5</c:v>
                </c:pt>
                <c:pt idx="10">
                  <c:v>92127</c:v>
                </c:pt>
                <c:pt idx="11">
                  <c:v>92127.5</c:v>
                </c:pt>
                <c:pt idx="12">
                  <c:v>93488</c:v>
                </c:pt>
                <c:pt idx="13">
                  <c:v>93488.5</c:v>
                </c:pt>
                <c:pt idx="14">
                  <c:v>92275.5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0.83690114896271928</c:v>
                </c:pt>
                <c:pt idx="1">
                  <c:v>6.4710123848788603E-2</c:v>
                </c:pt>
                <c:pt idx="2">
                  <c:v>6.4710123848788603E-2</c:v>
                </c:pt>
                <c:pt idx="3">
                  <c:v>6.4679417986488796E-2</c:v>
                </c:pt>
                <c:pt idx="4">
                  <c:v>6.4679417986488796E-2</c:v>
                </c:pt>
                <c:pt idx="5">
                  <c:v>6.3832813497367358E-2</c:v>
                </c:pt>
                <c:pt idx="6">
                  <c:v>3.9548862970027909E-2</c:v>
                </c:pt>
                <c:pt idx="7">
                  <c:v>3.9544476418270857E-2</c:v>
                </c:pt>
                <c:pt idx="8">
                  <c:v>2.7327929774730308E-2</c:v>
                </c:pt>
                <c:pt idx="9">
                  <c:v>2.8635122198347962E-2</c:v>
                </c:pt>
                <c:pt idx="10">
                  <c:v>2.8630735646590799E-2</c:v>
                </c:pt>
                <c:pt idx="11">
                  <c:v>2.8626349094833747E-2</c:v>
                </c:pt>
                <c:pt idx="12">
                  <c:v>1.6690541763747957E-2</c:v>
                </c:pt>
                <c:pt idx="13">
                  <c:v>1.6686155211990905E-2</c:v>
                </c:pt>
                <c:pt idx="14">
                  <c:v>2.7327929774730308E-2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EE-4BCE-9672-6CAFC14F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47424"/>
        <c:axId val="1"/>
      </c:scatterChart>
      <c:valAx>
        <c:axId val="54764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3971280449447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47424"/>
        <c:crosses val="autoZero"/>
        <c:crossBetween val="midCat"/>
        <c:majorUnit val="0.2"/>
        <c:minorUnit val="0.0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71900826446281E-2"/>
          <c:y val="0.91874999999999996"/>
          <c:w val="0.99173640485022008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17</xdr:col>
      <xdr:colOff>190499</xdr:colOff>
      <xdr:row>18</xdr:row>
      <xdr:rowOff>66675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28A83AF7-EF95-E919-E666-9B344BFAB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13</xdr:col>
      <xdr:colOff>38100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2CA8880B-1A15-A3AC-9393-C94F833CB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84" TargetMode="External"/><Relationship Id="rId13" Type="http://schemas.openxmlformats.org/officeDocument/2006/relationships/hyperlink" Target="http://www.bav-astro.de/sfs/BAVM_link.php?BAVMnr=234" TargetMode="External"/><Relationship Id="rId18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www.konkoly.hu/cgi-bin/IBVS?5684" TargetMode="External"/><Relationship Id="rId7" Type="http://schemas.openxmlformats.org/officeDocument/2006/relationships/hyperlink" Target="http://www.konkoly.hu/cgi-bin/IBVS?5684" TargetMode="External"/><Relationship Id="rId12" Type="http://schemas.openxmlformats.org/officeDocument/2006/relationships/hyperlink" Target="http://www.konkoly.hu/cgi-bin/IBVS?5945" TargetMode="External"/><Relationship Id="rId1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579" TargetMode="External"/><Relationship Id="rId16" Type="http://schemas.openxmlformats.org/officeDocument/2006/relationships/hyperlink" Target="http://www.konkoly.hu/cgi-bin/IBVS?6029" TargetMode="External"/><Relationship Id="rId20" Type="http://schemas.openxmlformats.org/officeDocument/2006/relationships/hyperlink" Target="http://www.konkoly.hu/cgi-bin/IBVS?6063" TargetMode="External"/><Relationship Id="rId1" Type="http://schemas.openxmlformats.org/officeDocument/2006/relationships/hyperlink" Target="http://www.konkoly.hu/cgi-bin/IBVS?5579" TargetMode="External"/><Relationship Id="rId6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5684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894" TargetMode="External"/><Relationship Id="rId19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konkoly.hu/cgi-bin/IBVS?5684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769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  <c r="D1" s="14"/>
    </row>
    <row r="2" spans="1:6" x14ac:dyDescent="0.2">
      <c r="A2" t="s">
        <v>26</v>
      </c>
      <c r="B2" t="s">
        <v>34</v>
      </c>
    </row>
    <row r="3" spans="1:6" x14ac:dyDescent="0.2">
      <c r="A3" s="13" t="s">
        <v>35</v>
      </c>
      <c r="B3" t="s">
        <v>36</v>
      </c>
    </row>
    <row r="4" spans="1:6" ht="14.25" thickTop="1" thickBot="1" x14ac:dyDescent="0.25">
      <c r="A4" s="8" t="s">
        <v>0</v>
      </c>
      <c r="C4" s="3">
        <v>27162.309499999999</v>
      </c>
      <c r="D4" s="4">
        <v>1.24350348</v>
      </c>
    </row>
    <row r="5" spans="1:6" ht="13.5" thickTop="1" x14ac:dyDescent="0.2">
      <c r="A5" s="25" t="s">
        <v>45</v>
      </c>
      <c r="B5" s="15"/>
      <c r="C5" s="26">
        <v>-9.5</v>
      </c>
      <c r="D5" s="15" t="s">
        <v>46</v>
      </c>
    </row>
    <row r="6" spans="1:6" x14ac:dyDescent="0.2">
      <c r="A6" s="8" t="s">
        <v>1</v>
      </c>
    </row>
    <row r="7" spans="1:6" x14ac:dyDescent="0.2">
      <c r="A7" t="s">
        <v>2</v>
      </c>
      <c r="C7">
        <f>+C4+C8/2</f>
        <v>27162.450165586197</v>
      </c>
    </row>
    <row r="8" spans="1:6" x14ac:dyDescent="0.2">
      <c r="A8" t="s">
        <v>3</v>
      </c>
      <c r="C8">
        <v>0.28133117239213107</v>
      </c>
      <c r="D8" s="13"/>
    </row>
    <row r="9" spans="1:6" x14ac:dyDescent="0.2">
      <c r="A9" s="38" t="s">
        <v>51</v>
      </c>
      <c r="B9" s="39">
        <v>22</v>
      </c>
      <c r="C9" s="28" t="str">
        <f>"F"&amp;B9</f>
        <v>F22</v>
      </c>
      <c r="D9" s="24" t="str">
        <f>"G"&amp;B9</f>
        <v>G22</v>
      </c>
    </row>
    <row r="10" spans="1:6" ht="13.5" thickBot="1" x14ac:dyDescent="0.25">
      <c r="A10" s="15"/>
      <c r="B10" s="15"/>
      <c r="C10" s="7" t="s">
        <v>21</v>
      </c>
      <c r="D10" s="7" t="s">
        <v>22</v>
      </c>
      <c r="E10" s="15"/>
    </row>
    <row r="11" spans="1:6" x14ac:dyDescent="0.2">
      <c r="A11" s="15" t="s">
        <v>16</v>
      </c>
      <c r="B11" s="15"/>
      <c r="C11" s="27">
        <f ca="1">INTERCEPT(INDIRECT($D$9):G991,INDIRECT($C$9):F991)</f>
        <v>5.0640477010532113E-2</v>
      </c>
      <c r="D11" s="6"/>
      <c r="E11" s="15"/>
    </row>
    <row r="12" spans="1:6" x14ac:dyDescent="0.2">
      <c r="A12" s="15" t="s">
        <v>17</v>
      </c>
      <c r="B12" s="15"/>
      <c r="C12" s="27">
        <f ca="1">SLOPE(INDIRECT($D$9):G991,INDIRECT($C$9):F991)</f>
        <v>-5.9340056008631967E-7</v>
      </c>
      <c r="D12" s="6"/>
      <c r="E12" s="15"/>
    </row>
    <row r="13" spans="1:6" x14ac:dyDescent="0.2">
      <c r="A13" s="15" t="s">
        <v>20</v>
      </c>
      <c r="B13" s="15"/>
      <c r="C13" s="6" t="s">
        <v>14</v>
      </c>
    </row>
    <row r="14" spans="1:6" x14ac:dyDescent="0.2">
      <c r="A14" s="15"/>
      <c r="B14" s="15"/>
      <c r="C14" s="15"/>
    </row>
    <row r="15" spans="1:6" x14ac:dyDescent="0.2">
      <c r="A15" s="29" t="s">
        <v>18</v>
      </c>
      <c r="B15" s="15"/>
      <c r="C15" s="30">
        <f ca="1">(C7+C11)+(C8+C12)*INT(MAX(F21:F3532))</f>
        <v>56338.732492121053</v>
      </c>
      <c r="E15" s="31" t="s">
        <v>60</v>
      </c>
      <c r="F15" s="26">
        <v>1</v>
      </c>
    </row>
    <row r="16" spans="1:6" x14ac:dyDescent="0.2">
      <c r="A16" s="33" t="s">
        <v>4</v>
      </c>
      <c r="B16" s="15"/>
      <c r="C16" s="34">
        <f ca="1">+C8+C12</f>
        <v>0.28133057899157099</v>
      </c>
      <c r="E16" s="31" t="s">
        <v>47</v>
      </c>
      <c r="F16" s="32">
        <f ca="1">NOW()+15018.5+$C$5/24</f>
        <v>60339.63263043981</v>
      </c>
    </row>
    <row r="17" spans="1:21" ht="13.5" thickBot="1" x14ac:dyDescent="0.25">
      <c r="A17" s="31" t="s">
        <v>49</v>
      </c>
      <c r="B17" s="15"/>
      <c r="C17" s="15">
        <f>COUNT(C21:C2190)</f>
        <v>26</v>
      </c>
      <c r="E17" s="31" t="s">
        <v>61</v>
      </c>
      <c r="F17" s="32">
        <f ca="1">ROUND(2*(F16-$C$7)/$C$8,0)/2+F15</f>
        <v>117930.5</v>
      </c>
    </row>
    <row r="18" spans="1:21" ht="14.25" thickTop="1" thickBot="1" x14ac:dyDescent="0.25">
      <c r="A18" s="33" t="s">
        <v>5</v>
      </c>
      <c r="B18" s="15"/>
      <c r="C18" s="36">
        <f ca="1">+C15</f>
        <v>56338.732492121053</v>
      </c>
      <c r="D18" s="37">
        <f ca="1">+C16</f>
        <v>0.28133057899157099</v>
      </c>
      <c r="E18" s="31" t="s">
        <v>48</v>
      </c>
      <c r="F18" s="24">
        <f ca="1">ROUND(2*(F16-$C$15)/$C$16,0)/2+F15</f>
        <v>14222.5</v>
      </c>
    </row>
    <row r="19" spans="1:21" ht="13.5" thickTop="1" x14ac:dyDescent="0.2">
      <c r="E19" s="31" t="s">
        <v>50</v>
      </c>
      <c r="F19" s="35">
        <f ca="1">+$C$15+$C$16*F18-15018.5-$C$5/24</f>
        <v>45321.85248516201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69</v>
      </c>
      <c r="I20" s="10" t="s">
        <v>72</v>
      </c>
      <c r="J20" s="10" t="s">
        <v>66</v>
      </c>
      <c r="K20" s="10" t="s">
        <v>64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66" t="s">
        <v>151</v>
      </c>
    </row>
    <row r="21" spans="1:21" x14ac:dyDescent="0.2">
      <c r="A21" t="s">
        <v>12</v>
      </c>
      <c r="C21" s="11">
        <v>27162.309499999999</v>
      </c>
      <c r="D21" s="11" t="s">
        <v>14</v>
      </c>
      <c r="E21">
        <f t="shared" ref="E21:E40" si="0">+(C21-C$7)/C$8</f>
        <v>-0.50000000000484524</v>
      </c>
      <c r="F21">
        <f t="shared" ref="F21:F46" si="1">ROUND(2*E21,0)/2</f>
        <v>-0.5</v>
      </c>
      <c r="G21">
        <f t="shared" ref="G21:G32" si="2">+C21-(C$7+F21*C$8)</f>
        <v>0</v>
      </c>
      <c r="H21">
        <f>+G21</f>
        <v>0</v>
      </c>
      <c r="O21">
        <f t="shared" ref="O21:O40" ca="1" si="3">+C$11+C$12*F21</f>
        <v>5.0640773710812159E-2</v>
      </c>
      <c r="Q21" s="2">
        <f t="shared" ref="Q21:Q40" si="4">+C21-15018.5</f>
        <v>12143.809499999999</v>
      </c>
    </row>
    <row r="22" spans="1:21" x14ac:dyDescent="0.2">
      <c r="A22" t="s">
        <v>32</v>
      </c>
      <c r="B22" s="6" t="s">
        <v>30</v>
      </c>
      <c r="C22" s="11">
        <v>51924.514000000003</v>
      </c>
      <c r="D22" s="11">
        <v>2E-3</v>
      </c>
      <c r="E22">
        <f t="shared" si="0"/>
        <v>88017.490645862068</v>
      </c>
      <c r="F22">
        <f t="shared" si="1"/>
        <v>88017.5</v>
      </c>
      <c r="G22">
        <f t="shared" si="2"/>
        <v>-2.6316105868318118E-3</v>
      </c>
      <c r="H22" s="11"/>
      <c r="K22">
        <f t="shared" ref="K22:K32" si="5">G22</f>
        <v>-2.6316105868318118E-3</v>
      </c>
      <c r="O22">
        <f t="shared" ca="1" si="3"/>
        <v>-1.5891567868655254E-3</v>
      </c>
      <c r="Q22" s="2">
        <f t="shared" si="4"/>
        <v>36906.014000000003</v>
      </c>
      <c r="R22" t="s">
        <v>64</v>
      </c>
    </row>
    <row r="23" spans="1:21" x14ac:dyDescent="0.2">
      <c r="A23" t="s">
        <v>32</v>
      </c>
      <c r="B23" s="6" t="s">
        <v>30</v>
      </c>
      <c r="C23" s="11">
        <v>51924.517</v>
      </c>
      <c r="D23" s="11">
        <v>1E-3</v>
      </c>
      <c r="E23">
        <f t="shared" si="0"/>
        <v>88017.50130945108</v>
      </c>
      <c r="F23">
        <f t="shared" si="1"/>
        <v>88017.5</v>
      </c>
      <c r="G23">
        <f t="shared" si="2"/>
        <v>3.6838941014138982E-4</v>
      </c>
      <c r="H23" s="11"/>
      <c r="K23">
        <f t="shared" si="5"/>
        <v>3.6838941014138982E-4</v>
      </c>
      <c r="O23">
        <f t="shared" ca="1" si="3"/>
        <v>-1.5891567868655254E-3</v>
      </c>
      <c r="Q23" s="2">
        <f t="shared" si="4"/>
        <v>36906.017</v>
      </c>
      <c r="R23" t="s">
        <v>64</v>
      </c>
    </row>
    <row r="24" spans="1:21" x14ac:dyDescent="0.2">
      <c r="A24" t="s">
        <v>32</v>
      </c>
      <c r="B24" s="6" t="s">
        <v>31</v>
      </c>
      <c r="C24" s="11">
        <v>51925.497199999998</v>
      </c>
      <c r="D24" s="11">
        <v>1.6000000000000001E-3</v>
      </c>
      <c r="E24">
        <f t="shared" si="0"/>
        <v>88020.985459435818</v>
      </c>
      <c r="F24">
        <f t="shared" si="1"/>
        <v>88021</v>
      </c>
      <c r="G24">
        <f t="shared" si="2"/>
        <v>-4.0907139627961442E-3</v>
      </c>
      <c r="H24" s="11"/>
      <c r="K24">
        <f t="shared" si="5"/>
        <v>-4.0907139627961442E-3</v>
      </c>
      <c r="O24">
        <f t="shared" ca="1" si="3"/>
        <v>-1.5912336888258341E-3</v>
      </c>
      <c r="Q24" s="2">
        <f t="shared" si="4"/>
        <v>36906.997199999998</v>
      </c>
      <c r="R24" t="s">
        <v>64</v>
      </c>
    </row>
    <row r="25" spans="1:21" x14ac:dyDescent="0.2">
      <c r="A25" t="s">
        <v>32</v>
      </c>
      <c r="B25" s="6" t="s">
        <v>31</v>
      </c>
      <c r="C25" s="11">
        <v>51925.498200000002</v>
      </c>
      <c r="D25" s="11">
        <v>6.9999999999999999E-4</v>
      </c>
      <c r="E25">
        <f t="shared" si="0"/>
        <v>88020.989013965504</v>
      </c>
      <c r="F25">
        <f t="shared" si="1"/>
        <v>88021</v>
      </c>
      <c r="G25">
        <f t="shared" si="2"/>
        <v>-3.0907139589544386E-3</v>
      </c>
      <c r="H25" s="11"/>
      <c r="K25">
        <f t="shared" si="5"/>
        <v>-3.0907139589544386E-3</v>
      </c>
      <c r="O25">
        <f t="shared" ca="1" si="3"/>
        <v>-1.5912336888258341E-3</v>
      </c>
      <c r="Q25" s="2">
        <f t="shared" si="4"/>
        <v>36906.998200000002</v>
      </c>
      <c r="R25" t="s">
        <v>64</v>
      </c>
    </row>
    <row r="26" spans="1:21" x14ac:dyDescent="0.2">
      <c r="A26" t="s">
        <v>32</v>
      </c>
      <c r="B26" s="6" t="s">
        <v>30</v>
      </c>
      <c r="C26" s="11">
        <v>51952.648000000001</v>
      </c>
      <c r="D26" s="11">
        <v>4.0000000000000002E-4</v>
      </c>
      <c r="E26">
        <f t="shared" si="0"/>
        <v>88117.49378366147</v>
      </c>
      <c r="F26">
        <f t="shared" si="1"/>
        <v>88117.5</v>
      </c>
      <c r="G26">
        <f t="shared" si="2"/>
        <v>-1.7488498051534407E-3</v>
      </c>
      <c r="H26" s="11"/>
      <c r="K26">
        <f t="shared" si="5"/>
        <v>-1.7488498051534407E-3</v>
      </c>
      <c r="O26">
        <f t="shared" ca="1" si="3"/>
        <v>-1.6484968428741587E-3</v>
      </c>
      <c r="Q26" s="2">
        <f t="shared" si="4"/>
        <v>36934.148000000001</v>
      </c>
      <c r="R26" t="s">
        <v>64</v>
      </c>
    </row>
    <row r="27" spans="1:21" x14ac:dyDescent="0.2">
      <c r="A27" s="15" t="s">
        <v>38</v>
      </c>
      <c r="B27" s="16" t="s">
        <v>30</v>
      </c>
      <c r="C27" s="21">
        <v>52731.372799999997</v>
      </c>
      <c r="D27" s="23">
        <v>2.0000000000000001E-4</v>
      </c>
      <c r="E27">
        <f t="shared" si="0"/>
        <v>90885.494191787511</v>
      </c>
      <c r="F27">
        <f t="shared" si="1"/>
        <v>90885.5</v>
      </c>
      <c r="G27">
        <f t="shared" si="2"/>
        <v>-1.6340312286047265E-3</v>
      </c>
      <c r="K27">
        <f t="shared" si="5"/>
        <v>-1.6340312286047265E-3</v>
      </c>
      <c r="O27">
        <f t="shared" ca="1" si="3"/>
        <v>-3.2910295931930927E-3</v>
      </c>
      <c r="Q27" s="2">
        <f t="shared" si="4"/>
        <v>37712.872799999997</v>
      </c>
      <c r="R27" t="s">
        <v>64</v>
      </c>
    </row>
    <row r="28" spans="1:21" x14ac:dyDescent="0.2">
      <c r="A28" s="15" t="s">
        <v>38</v>
      </c>
      <c r="B28" s="16" t="s">
        <v>31</v>
      </c>
      <c r="C28" s="21">
        <v>52731.513200000001</v>
      </c>
      <c r="D28" s="23">
        <v>4.0000000000000002E-4</v>
      </c>
      <c r="E28">
        <f t="shared" si="0"/>
        <v>90885.993247753519</v>
      </c>
      <c r="F28">
        <f t="shared" si="1"/>
        <v>90886</v>
      </c>
      <c r="G28">
        <f t="shared" si="2"/>
        <v>-1.8996174185303971E-3</v>
      </c>
      <c r="K28">
        <f t="shared" si="5"/>
        <v>-1.8996174185303971E-3</v>
      </c>
      <c r="O28">
        <f t="shared" ca="1" si="3"/>
        <v>-3.2913262934731388E-3</v>
      </c>
      <c r="Q28" s="2">
        <f t="shared" si="4"/>
        <v>37713.013200000001</v>
      </c>
      <c r="R28" t="s">
        <v>64</v>
      </c>
    </row>
    <row r="29" spans="1:21" x14ac:dyDescent="0.2">
      <c r="A29" s="20" t="s">
        <v>41</v>
      </c>
      <c r="B29" s="16" t="s">
        <v>30</v>
      </c>
      <c r="C29" s="21">
        <v>53081.347000000002</v>
      </c>
      <c r="D29" s="22">
        <v>1E-3</v>
      </c>
      <c r="E29">
        <f t="shared" si="0"/>
        <v>92129.487870213576</v>
      </c>
      <c r="F29">
        <f t="shared" si="1"/>
        <v>92129.5</v>
      </c>
      <c r="G29">
        <f t="shared" si="2"/>
        <v>-3.4124870362575166E-3</v>
      </c>
      <c r="K29">
        <f t="shared" si="5"/>
        <v>-3.4124870362575166E-3</v>
      </c>
      <c r="O29">
        <f t="shared" ca="1" si="3"/>
        <v>-4.029219889940476E-3</v>
      </c>
      <c r="Q29" s="2">
        <f t="shared" si="4"/>
        <v>38062.847000000002</v>
      </c>
      <c r="R29" t="s">
        <v>64</v>
      </c>
    </row>
    <row r="30" spans="1:21" x14ac:dyDescent="0.2">
      <c r="A30" s="20" t="s">
        <v>41</v>
      </c>
      <c r="B30" s="16" t="s">
        <v>31</v>
      </c>
      <c r="C30" s="21">
        <v>53081.489699999998</v>
      </c>
      <c r="D30" s="22">
        <v>2.0000000000000001E-4</v>
      </c>
      <c r="E30">
        <f t="shared" si="0"/>
        <v>92129.9951015978</v>
      </c>
      <c r="F30">
        <f t="shared" si="1"/>
        <v>92130</v>
      </c>
      <c r="G30">
        <f t="shared" si="2"/>
        <v>-1.378073233354371E-3</v>
      </c>
      <c r="K30">
        <f t="shared" si="5"/>
        <v>-1.378073233354371E-3</v>
      </c>
      <c r="O30">
        <f t="shared" ca="1" si="3"/>
        <v>-4.0295165902205152E-3</v>
      </c>
      <c r="Q30" s="2">
        <f t="shared" si="4"/>
        <v>38062.989699999998</v>
      </c>
      <c r="R30" t="s">
        <v>64</v>
      </c>
    </row>
    <row r="31" spans="1:21" x14ac:dyDescent="0.2">
      <c r="A31" s="20" t="s">
        <v>41</v>
      </c>
      <c r="B31" s="16" t="s">
        <v>30</v>
      </c>
      <c r="C31" s="21">
        <v>53081.628299999997</v>
      </c>
      <c r="D31" s="22">
        <v>4.0000000000000002E-4</v>
      </c>
      <c r="E31">
        <f t="shared" si="0"/>
        <v>92130.487759410375</v>
      </c>
      <c r="F31">
        <f t="shared" si="1"/>
        <v>92130.5</v>
      </c>
      <c r="G31">
        <f t="shared" si="2"/>
        <v>-3.4436594287399203E-3</v>
      </c>
      <c r="K31">
        <f t="shared" si="5"/>
        <v>-3.4436594287399203E-3</v>
      </c>
      <c r="O31">
        <f t="shared" ca="1" si="3"/>
        <v>-4.0298132905005613E-3</v>
      </c>
      <c r="Q31" s="2">
        <f t="shared" si="4"/>
        <v>38063.128299999997</v>
      </c>
      <c r="R31" t="s">
        <v>64</v>
      </c>
    </row>
    <row r="32" spans="1:21" x14ac:dyDescent="0.2">
      <c r="A32" t="s">
        <v>37</v>
      </c>
      <c r="B32" s="6" t="s">
        <v>30</v>
      </c>
      <c r="C32" s="11">
        <v>53123.266000000003</v>
      </c>
      <c r="D32" s="11">
        <v>5.0000000000000001E-4</v>
      </c>
      <c r="E32">
        <f t="shared" si="0"/>
        <v>92278.490199545122</v>
      </c>
      <c r="F32">
        <f t="shared" si="1"/>
        <v>92278.5</v>
      </c>
      <c r="G32">
        <f t="shared" si="2"/>
        <v>-2.7571734608500265E-3</v>
      </c>
      <c r="K32">
        <f t="shared" si="5"/>
        <v>-2.7571734608500265E-3</v>
      </c>
      <c r="O32">
        <f t="shared" ca="1" si="3"/>
        <v>-4.1176365733933337E-3</v>
      </c>
      <c r="Q32" s="2">
        <f t="shared" si="4"/>
        <v>38104.766000000003</v>
      </c>
      <c r="R32" t="s">
        <v>64</v>
      </c>
    </row>
    <row r="33" spans="1:21" x14ac:dyDescent="0.2">
      <c r="A33" s="20" t="s">
        <v>41</v>
      </c>
      <c r="B33" s="16" t="s">
        <v>31</v>
      </c>
      <c r="C33" s="21">
        <v>53464.385999999999</v>
      </c>
      <c r="D33" s="22">
        <v>1E-3</v>
      </c>
      <c r="E33">
        <f t="shared" si="0"/>
        <v>93491.011361347017</v>
      </c>
      <c r="F33">
        <f t="shared" si="1"/>
        <v>93491</v>
      </c>
      <c r="O33">
        <f t="shared" ca="1" si="3"/>
        <v>-4.8371347524980013E-3</v>
      </c>
      <c r="Q33" s="2">
        <f t="shared" si="4"/>
        <v>38445.885999999999</v>
      </c>
      <c r="R33" t="s">
        <v>64</v>
      </c>
      <c r="U33" s="24">
        <v>3.1963010769686662E-3</v>
      </c>
    </row>
    <row r="34" spans="1:21" x14ac:dyDescent="0.2">
      <c r="A34" s="40" t="s">
        <v>41</v>
      </c>
      <c r="B34" s="41" t="s">
        <v>30</v>
      </c>
      <c r="C34" s="42">
        <v>53464.518300000003</v>
      </c>
      <c r="D34" s="43">
        <v>6.9999999999999999E-4</v>
      </c>
      <c r="E34">
        <f t="shared" si="0"/>
        <v>93491.481625622677</v>
      </c>
      <c r="F34">
        <f t="shared" si="1"/>
        <v>93491.5</v>
      </c>
      <c r="G34">
        <f t="shared" ref="G34:G40" si="6">+C34-(C$7+F34*C$8)</f>
        <v>-5.1692851193365641E-3</v>
      </c>
      <c r="K34">
        <f>G34</f>
        <v>-5.1692851193365641E-3</v>
      </c>
      <c r="O34">
        <f t="shared" ca="1" si="3"/>
        <v>-4.8374314527780404E-3</v>
      </c>
      <c r="Q34" s="2">
        <f t="shared" si="4"/>
        <v>38446.018300000003</v>
      </c>
      <c r="R34" t="s">
        <v>64</v>
      </c>
    </row>
    <row r="35" spans="1:21" x14ac:dyDescent="0.2">
      <c r="A35" s="44" t="s">
        <v>53</v>
      </c>
      <c r="B35" s="45" t="s">
        <v>30</v>
      </c>
      <c r="C35" s="44">
        <v>54831.6443</v>
      </c>
      <c r="D35" s="67">
        <v>5.0000000000000001E-4</v>
      </c>
      <c r="E35">
        <f t="shared" si="0"/>
        <v>98350.97155834311</v>
      </c>
      <c r="F35">
        <f t="shared" si="1"/>
        <v>98351</v>
      </c>
      <c r="G35">
        <f t="shared" si="6"/>
        <v>-8.0015246785478666E-3</v>
      </c>
      <c r="J35">
        <f>G35</f>
        <v>-8.0015246785478666E-3</v>
      </c>
      <c r="O35">
        <f t="shared" ca="1" si="3"/>
        <v>-7.7210614745175099E-3</v>
      </c>
      <c r="Q35" s="2">
        <f t="shared" si="4"/>
        <v>39813.1443</v>
      </c>
      <c r="R35" t="s">
        <v>66</v>
      </c>
    </row>
    <row r="36" spans="1:21" x14ac:dyDescent="0.2">
      <c r="A36" s="44" t="s">
        <v>44</v>
      </c>
      <c r="B36" s="45" t="s">
        <v>30</v>
      </c>
      <c r="C36" s="44">
        <v>54881.858200000002</v>
      </c>
      <c r="D36" s="44">
        <v>4.0000000000000002E-4</v>
      </c>
      <c r="E36">
        <f t="shared" si="0"/>
        <v>98529.458355853087</v>
      </c>
      <c r="F36">
        <f t="shared" si="1"/>
        <v>98529.5</v>
      </c>
      <c r="G36">
        <f t="shared" si="6"/>
        <v>-1.1715796674252488E-2</v>
      </c>
      <c r="K36">
        <f>G36</f>
        <v>-1.1715796674252488E-2</v>
      </c>
      <c r="O36">
        <f t="shared" ca="1" si="3"/>
        <v>-7.8269834744929198E-3</v>
      </c>
      <c r="Q36" s="2">
        <f t="shared" si="4"/>
        <v>39863.358200000002</v>
      </c>
      <c r="R36" t="s">
        <v>64</v>
      </c>
    </row>
    <row r="37" spans="1:21" x14ac:dyDescent="0.2">
      <c r="A37" s="44" t="s">
        <v>44</v>
      </c>
      <c r="B37" s="45" t="s">
        <v>31</v>
      </c>
      <c r="C37" s="44">
        <v>54957.677499999998</v>
      </c>
      <c r="D37" s="44">
        <v>1.1000000000000001E-3</v>
      </c>
      <c r="E37">
        <f t="shared" si="0"/>
        <v>98798.960307433183</v>
      </c>
      <c r="F37">
        <f t="shared" si="1"/>
        <v>98799</v>
      </c>
      <c r="G37">
        <f t="shared" si="6"/>
        <v>-1.1166756354214158E-2</v>
      </c>
      <c r="K37">
        <f>G37</f>
        <v>-1.1166756354214158E-2</v>
      </c>
      <c r="O37">
        <f t="shared" ca="1" si="3"/>
        <v>-7.9869049254361821E-3</v>
      </c>
      <c r="Q37" s="2">
        <f t="shared" si="4"/>
        <v>39939.177499999998</v>
      </c>
      <c r="R37" t="s">
        <v>64</v>
      </c>
    </row>
    <row r="38" spans="1:21" x14ac:dyDescent="0.2">
      <c r="A38" s="44" t="s">
        <v>52</v>
      </c>
      <c r="B38" s="45" t="s">
        <v>31</v>
      </c>
      <c r="C38" s="44">
        <v>55276.707000000002</v>
      </c>
      <c r="D38" s="44">
        <v>5.0000000000000001E-4</v>
      </c>
      <c r="E38">
        <f t="shared" si="0"/>
        <v>99932.960131510015</v>
      </c>
      <c r="F38">
        <f t="shared" si="1"/>
        <v>99933</v>
      </c>
      <c r="G38">
        <f t="shared" si="6"/>
        <v>-1.1216249033168424E-2</v>
      </c>
      <c r="K38">
        <f>G38</f>
        <v>-1.1216249033168424E-2</v>
      </c>
      <c r="O38">
        <f t="shared" ca="1" si="3"/>
        <v>-8.659821160574073E-3</v>
      </c>
      <c r="Q38" s="2">
        <f t="shared" si="4"/>
        <v>40258.207000000002</v>
      </c>
      <c r="R38" t="s">
        <v>64</v>
      </c>
    </row>
    <row r="39" spans="1:21" x14ac:dyDescent="0.2">
      <c r="A39" s="44" t="s">
        <v>54</v>
      </c>
      <c r="B39" s="45" t="s">
        <v>30</v>
      </c>
      <c r="C39" s="44">
        <v>55615.851799999997</v>
      </c>
      <c r="D39" s="44">
        <v>8.9999999999999998E-4</v>
      </c>
      <c r="E39">
        <f t="shared" si="0"/>
        <v>101138.46038630325</v>
      </c>
      <c r="F39">
        <f t="shared" si="1"/>
        <v>101138.5</v>
      </c>
      <c r="G39">
        <f t="shared" si="6"/>
        <v>-1.1144567746669054E-2</v>
      </c>
      <c r="K39">
        <f>G39</f>
        <v>-1.1144567746669054E-2</v>
      </c>
      <c r="O39">
        <f t="shared" ca="1" si="3"/>
        <v>-9.3751655357581301E-3</v>
      </c>
      <c r="Q39" s="2">
        <f t="shared" si="4"/>
        <v>40597.351799999997</v>
      </c>
      <c r="R39" t="s">
        <v>64</v>
      </c>
    </row>
    <row r="40" spans="1:21" x14ac:dyDescent="0.2">
      <c r="A40" s="44" t="s">
        <v>55</v>
      </c>
      <c r="B40" s="45" t="s">
        <v>30</v>
      </c>
      <c r="C40" s="44">
        <v>55628.512699999999</v>
      </c>
      <c r="D40" s="67">
        <v>2.9999999999999997E-4</v>
      </c>
      <c r="E40">
        <f t="shared" si="0"/>
        <v>101183.4639310308</v>
      </c>
      <c r="F40">
        <f t="shared" si="1"/>
        <v>101183.5</v>
      </c>
      <c r="G40">
        <f t="shared" si="6"/>
        <v>-1.0147325396246742E-2</v>
      </c>
      <c r="J40">
        <f>G40</f>
        <v>-1.0147325396246742E-2</v>
      </c>
      <c r="O40">
        <f t="shared" ca="1" si="3"/>
        <v>-9.4018685609620137E-3</v>
      </c>
      <c r="Q40" s="2">
        <f t="shared" si="4"/>
        <v>40610.012699999999</v>
      </c>
      <c r="R40" t="s">
        <v>66</v>
      </c>
    </row>
    <row r="41" spans="1:21" x14ac:dyDescent="0.2">
      <c r="A41" s="46" t="s">
        <v>56</v>
      </c>
      <c r="B41" s="47" t="s">
        <v>30</v>
      </c>
      <c r="C41" s="46">
        <v>55981.864500000003</v>
      </c>
      <c r="D41" s="46">
        <v>4.0000000000000002E-4</v>
      </c>
      <c r="E41">
        <f t="shared" ref="E41:E46" si="7">+(C41-C$7)/C$8</f>
        <v>102439.46338887789</v>
      </c>
      <c r="F41">
        <f t="shared" si="1"/>
        <v>102439.5</v>
      </c>
      <c r="G41">
        <f t="shared" ref="G41:G46" si="8">+C41-(C$7+F41*C$8)</f>
        <v>-1.0299849898729008E-2</v>
      </c>
      <c r="K41">
        <f t="shared" ref="K41:K46" si="9">G41</f>
        <v>-1.0299849898729008E-2</v>
      </c>
      <c r="O41">
        <f t="shared" ref="O41:O46" ca="1" si="10">+C$11+C$12*F41</f>
        <v>-1.0147179664430434E-2</v>
      </c>
      <c r="Q41" s="2">
        <f t="shared" ref="Q41:Q46" si="11">+C41-15018.5</f>
        <v>40963.364500000003</v>
      </c>
      <c r="R41" t="s">
        <v>64</v>
      </c>
    </row>
    <row r="42" spans="1:21" x14ac:dyDescent="0.2">
      <c r="A42" s="46" t="s">
        <v>56</v>
      </c>
      <c r="B42" s="47" t="s">
        <v>31</v>
      </c>
      <c r="C42" s="46">
        <v>56048.6829</v>
      </c>
      <c r="D42" s="46">
        <v>1.2999999999999999E-3</v>
      </c>
      <c r="E42">
        <f t="shared" si="7"/>
        <v>102676.97137433094</v>
      </c>
      <c r="F42">
        <f t="shared" si="1"/>
        <v>102677</v>
      </c>
      <c r="G42">
        <f t="shared" si="8"/>
        <v>-8.053293036937248E-3</v>
      </c>
      <c r="K42">
        <f t="shared" si="9"/>
        <v>-8.053293036937248E-3</v>
      </c>
      <c r="O42">
        <f t="shared" ca="1" si="10"/>
        <v>-1.0288112297450934E-2</v>
      </c>
      <c r="Q42" s="2">
        <f t="shared" si="11"/>
        <v>41030.1829</v>
      </c>
      <c r="R42" t="s">
        <v>64</v>
      </c>
    </row>
    <row r="43" spans="1:21" x14ac:dyDescent="0.2">
      <c r="A43" s="48" t="s">
        <v>57</v>
      </c>
      <c r="B43" s="47" t="s">
        <v>58</v>
      </c>
      <c r="C43" s="46">
        <v>56338.874400000001</v>
      </c>
      <c r="D43" s="46">
        <v>3.8000000000000002E-4</v>
      </c>
      <c r="E43">
        <f t="shared" si="7"/>
        <v>103708.46567171907</v>
      </c>
      <c r="F43">
        <f t="shared" si="1"/>
        <v>103708.5</v>
      </c>
      <c r="G43">
        <f t="shared" si="8"/>
        <v>-9.6576155192451552E-3</v>
      </c>
      <c r="K43">
        <f t="shared" si="9"/>
        <v>-9.6576155192451552E-3</v>
      </c>
      <c r="O43">
        <f t="shared" ca="1" si="10"/>
        <v>-1.0900204975179968E-2</v>
      </c>
      <c r="Q43" s="2">
        <f t="shared" si="11"/>
        <v>41320.374400000001</v>
      </c>
      <c r="R43" t="s">
        <v>64</v>
      </c>
    </row>
    <row r="44" spans="1:21" x14ac:dyDescent="0.2">
      <c r="A44" s="48" t="s">
        <v>57</v>
      </c>
      <c r="B44" s="47" t="s">
        <v>58</v>
      </c>
      <c r="C44" s="46">
        <v>56338.874430000003</v>
      </c>
      <c r="D44" s="46">
        <v>6.7000000000000002E-4</v>
      </c>
      <c r="E44">
        <f t="shared" si="7"/>
        <v>103708.46577835496</v>
      </c>
      <c r="F44">
        <f t="shared" si="1"/>
        <v>103708.5</v>
      </c>
      <c r="G44">
        <f t="shared" si="8"/>
        <v>-9.6276155163650401E-3</v>
      </c>
      <c r="K44">
        <f t="shared" si="9"/>
        <v>-9.6276155163650401E-3</v>
      </c>
      <c r="O44">
        <f t="shared" ca="1" si="10"/>
        <v>-1.0900204975179968E-2</v>
      </c>
      <c r="Q44" s="2">
        <f t="shared" si="11"/>
        <v>41320.374430000003</v>
      </c>
      <c r="R44" t="s">
        <v>64</v>
      </c>
    </row>
    <row r="45" spans="1:21" x14ac:dyDescent="0.2">
      <c r="A45" s="48" t="s">
        <v>57</v>
      </c>
      <c r="B45" s="47" t="s">
        <v>58</v>
      </c>
      <c r="C45" s="46">
        <v>56338.874830000001</v>
      </c>
      <c r="D45" s="46">
        <v>3.2000000000000003E-4</v>
      </c>
      <c r="E45">
        <f t="shared" si="7"/>
        <v>103708.46720016682</v>
      </c>
      <c r="F45">
        <f t="shared" si="1"/>
        <v>103708.5</v>
      </c>
      <c r="G45">
        <f t="shared" si="8"/>
        <v>-9.2276155191939324E-3</v>
      </c>
      <c r="K45">
        <f t="shared" si="9"/>
        <v>-9.2276155191939324E-3</v>
      </c>
      <c r="O45">
        <f t="shared" ca="1" si="10"/>
        <v>-1.0900204975179968E-2</v>
      </c>
      <c r="Q45" s="2">
        <f t="shared" si="11"/>
        <v>41320.374830000001</v>
      </c>
      <c r="R45" t="s">
        <v>64</v>
      </c>
    </row>
    <row r="46" spans="1:21" x14ac:dyDescent="0.2">
      <c r="A46" s="49" t="s">
        <v>59</v>
      </c>
      <c r="B46" s="50" t="s">
        <v>31</v>
      </c>
      <c r="C46" s="51">
        <v>55279.383600000001</v>
      </c>
      <c r="D46" s="52">
        <v>2.0000000000000001E-4</v>
      </c>
      <c r="E46">
        <f t="shared" si="7"/>
        <v>99942.474185630781</v>
      </c>
      <c r="F46">
        <f t="shared" si="1"/>
        <v>99942.5</v>
      </c>
      <c r="G46">
        <f t="shared" si="8"/>
        <v>-7.2623867599759251E-3</v>
      </c>
      <c r="K46">
        <f t="shared" si="9"/>
        <v>-7.2623867599759251E-3</v>
      </c>
      <c r="O46">
        <f t="shared" ca="1" si="10"/>
        <v>-8.665458465894893E-3</v>
      </c>
      <c r="Q46" s="2">
        <f t="shared" si="11"/>
        <v>40260.883600000001</v>
      </c>
      <c r="R46" t="s">
        <v>66</v>
      </c>
    </row>
    <row r="47" spans="1:21" x14ac:dyDescent="0.2">
      <c r="C47" s="11"/>
      <c r="D47" s="11"/>
    </row>
    <row r="48" spans="1:21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40</v>
      </c>
      <c r="D1" s="14"/>
    </row>
    <row r="2" spans="1:4" x14ac:dyDescent="0.2">
      <c r="A2" t="s">
        <v>26</v>
      </c>
      <c r="B2" t="s">
        <v>34</v>
      </c>
    </row>
    <row r="3" spans="1:4" x14ac:dyDescent="0.2">
      <c r="A3" s="13" t="s">
        <v>35</v>
      </c>
      <c r="B3" t="s">
        <v>36</v>
      </c>
    </row>
    <row r="4" spans="1:4" x14ac:dyDescent="0.2">
      <c r="A4" s="8" t="s">
        <v>0</v>
      </c>
      <c r="C4" s="3">
        <v>27162.309499999999</v>
      </c>
      <c r="D4" s="4">
        <v>1.24350348</v>
      </c>
    </row>
    <row r="6" spans="1:4" x14ac:dyDescent="0.2">
      <c r="A6" s="8" t="s">
        <v>1</v>
      </c>
    </row>
    <row r="7" spans="1:4" x14ac:dyDescent="0.2">
      <c r="A7" t="s">
        <v>2</v>
      </c>
      <c r="C7">
        <f>+C4+C8/2</f>
        <v>27162.45017</v>
      </c>
    </row>
    <row r="8" spans="1:4" x14ac:dyDescent="0.2">
      <c r="A8" t="s">
        <v>3</v>
      </c>
      <c r="C8">
        <v>0.28133999999999998</v>
      </c>
      <c r="D8" s="13" t="s">
        <v>32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16</v>
      </c>
      <c r="C11">
        <f>INTERCEPT(G22:G93,F22:F93)</f>
        <v>0.83687044310041958</v>
      </c>
      <c r="D11" s="6"/>
    </row>
    <row r="12" spans="1:4" x14ac:dyDescent="0.2">
      <c r="A12" t="s">
        <v>17</v>
      </c>
      <c r="C12">
        <f>SLOPE(G22:G93,F22:F93)</f>
        <v>-8.7731035142122154E-6</v>
      </c>
      <c r="D12" s="6"/>
    </row>
    <row r="13" spans="1:4" x14ac:dyDescent="0.2">
      <c r="A13" t="s">
        <v>20</v>
      </c>
      <c r="C13" s="6" t="s">
        <v>14</v>
      </c>
      <c r="D13" s="6"/>
    </row>
    <row r="14" spans="1:4" x14ac:dyDescent="0.2">
      <c r="A14" t="s">
        <v>25</v>
      </c>
    </row>
    <row r="15" spans="1:4" x14ac:dyDescent="0.2">
      <c r="A15" s="5" t="s">
        <v>18</v>
      </c>
      <c r="C15">
        <f>+D15-C8/2</f>
        <v>53123.125330000003</v>
      </c>
      <c r="D15">
        <v>53123.266000000003</v>
      </c>
    </row>
    <row r="16" spans="1:4" x14ac:dyDescent="0.2">
      <c r="A16" s="8" t="s">
        <v>4</v>
      </c>
      <c r="C16">
        <f>+C8+C12</f>
        <v>0.28133122689648576</v>
      </c>
    </row>
    <row r="17" spans="1:17" ht="13.5" thickBot="1" x14ac:dyDescent="0.25"/>
    <row r="18" spans="1:17" x14ac:dyDescent="0.2">
      <c r="A18" s="8" t="s">
        <v>5</v>
      </c>
      <c r="C18" s="3">
        <f>+C15</f>
        <v>53123.125330000003</v>
      </c>
      <c r="D18" s="4">
        <f>+C16</f>
        <v>0.28133122689648576</v>
      </c>
    </row>
    <row r="19" spans="1:17" ht="13.5" thickTop="1" x14ac:dyDescent="0.2">
      <c r="C19">
        <f>COUNT(C21:C1557)</f>
        <v>15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42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>
        <v>27162.309499999999</v>
      </c>
      <c r="D21" s="6" t="s">
        <v>14</v>
      </c>
      <c r="E21">
        <f t="shared" ref="E21:E35" si="0">+(C21-C$7)/C$8</f>
        <v>-0.50000000000242484</v>
      </c>
      <c r="F21">
        <v>-3.5</v>
      </c>
      <c r="G21">
        <f t="shared" ref="G21:G35" si="1">+C21-(C$7+F21*C$8)</f>
        <v>0.84402000000045518</v>
      </c>
      <c r="H21">
        <f>+G21</f>
        <v>0.84402000000045518</v>
      </c>
      <c r="O21">
        <f t="shared" ref="O21:O35" si="2">+C$11+C$12*F21</f>
        <v>0.83690114896271928</v>
      </c>
      <c r="Q21" s="2">
        <f t="shared" ref="Q21:Q35" si="3">+C21-15018.5</f>
        <v>12143.809499999999</v>
      </c>
    </row>
    <row r="22" spans="1:17" x14ac:dyDescent="0.2">
      <c r="A22" t="s">
        <v>32</v>
      </c>
      <c r="B22" s="6" t="s">
        <v>30</v>
      </c>
      <c r="C22" s="12">
        <v>51924.514000000003</v>
      </c>
      <c r="D22" s="6">
        <v>2E-3</v>
      </c>
      <c r="E22">
        <f t="shared" si="0"/>
        <v>88014.72890452834</v>
      </c>
      <c r="F22">
        <f t="shared" ref="F22:F35" si="4">ROUND(2*E22,0)/2</f>
        <v>88014.5</v>
      </c>
      <c r="G22">
        <f t="shared" si="1"/>
        <v>6.4400000002933666E-2</v>
      </c>
      <c r="H22" s="11"/>
      <c r="I22">
        <f t="shared" ref="I22:I34" si="5">G22</f>
        <v>6.4400000002933666E-2</v>
      </c>
      <c r="O22">
        <f t="shared" si="2"/>
        <v>6.4710123848788603E-2</v>
      </c>
      <c r="Q22" s="2">
        <f t="shared" si="3"/>
        <v>36906.014000000003</v>
      </c>
    </row>
    <row r="23" spans="1:17" x14ac:dyDescent="0.2">
      <c r="A23" t="s">
        <v>32</v>
      </c>
      <c r="B23" s="6" t="s">
        <v>30</v>
      </c>
      <c r="C23" s="12">
        <v>51924.517</v>
      </c>
      <c r="D23" s="6">
        <v>1E-3</v>
      </c>
      <c r="E23">
        <f t="shared" si="0"/>
        <v>88014.739567782759</v>
      </c>
      <c r="F23">
        <f t="shared" si="4"/>
        <v>88014.5</v>
      </c>
      <c r="G23">
        <f t="shared" si="1"/>
        <v>6.7399999999906868E-2</v>
      </c>
      <c r="H23" s="11"/>
      <c r="I23">
        <f t="shared" si="5"/>
        <v>6.7399999999906868E-2</v>
      </c>
      <c r="O23">
        <f t="shared" si="2"/>
        <v>6.4710123848788603E-2</v>
      </c>
      <c r="Q23" s="2">
        <f t="shared" si="3"/>
        <v>36906.017</v>
      </c>
    </row>
    <row r="24" spans="1:17" x14ac:dyDescent="0.2">
      <c r="A24" t="s">
        <v>32</v>
      </c>
      <c r="B24" s="6" t="s">
        <v>31</v>
      </c>
      <c r="C24" s="12">
        <v>51925.497199999998</v>
      </c>
      <c r="D24" s="6">
        <v>1.6000000000000001E-3</v>
      </c>
      <c r="E24">
        <f t="shared" si="0"/>
        <v>88018.223608445303</v>
      </c>
      <c r="F24">
        <f t="shared" si="4"/>
        <v>88018</v>
      </c>
      <c r="G24">
        <f t="shared" si="1"/>
        <v>6.2910000000556465E-2</v>
      </c>
      <c r="H24" s="11"/>
      <c r="I24">
        <f t="shared" si="5"/>
        <v>6.2910000000556465E-2</v>
      </c>
      <c r="O24">
        <f t="shared" si="2"/>
        <v>6.4679417986488796E-2</v>
      </c>
      <c r="Q24" s="2">
        <f t="shared" si="3"/>
        <v>36906.997199999998</v>
      </c>
    </row>
    <row r="25" spans="1:17" x14ac:dyDescent="0.2">
      <c r="A25" t="s">
        <v>32</v>
      </c>
      <c r="B25" s="6" t="s">
        <v>31</v>
      </c>
      <c r="C25" s="12">
        <v>51925.498200000002</v>
      </c>
      <c r="D25" s="6">
        <v>6.9999999999999999E-4</v>
      </c>
      <c r="E25">
        <f t="shared" si="0"/>
        <v>88018.227162863448</v>
      </c>
      <c r="F25">
        <f t="shared" si="4"/>
        <v>88018</v>
      </c>
      <c r="G25">
        <f t="shared" si="1"/>
        <v>6.3910000004398171E-2</v>
      </c>
      <c r="H25" s="11"/>
      <c r="I25">
        <f t="shared" si="5"/>
        <v>6.3910000004398171E-2</v>
      </c>
      <c r="O25">
        <f t="shared" si="2"/>
        <v>6.4679417986488796E-2</v>
      </c>
      <c r="Q25" s="2">
        <f t="shared" si="3"/>
        <v>36906.998200000002</v>
      </c>
    </row>
    <row r="26" spans="1:17" x14ac:dyDescent="0.2">
      <c r="A26" t="s">
        <v>32</v>
      </c>
      <c r="B26" s="6" t="s">
        <v>30</v>
      </c>
      <c r="C26" s="12">
        <v>51952.648000000001</v>
      </c>
      <c r="D26" s="6">
        <v>4.0000000000000002E-4</v>
      </c>
      <c r="E26">
        <f t="shared" si="0"/>
        <v>88114.72890452834</v>
      </c>
      <c r="F26">
        <f t="shared" si="4"/>
        <v>88114.5</v>
      </c>
      <c r="G26">
        <f t="shared" si="1"/>
        <v>6.4400000002933666E-2</v>
      </c>
      <c r="H26" s="11"/>
      <c r="I26">
        <f t="shared" si="5"/>
        <v>6.4400000002933666E-2</v>
      </c>
      <c r="O26">
        <f t="shared" si="2"/>
        <v>6.3832813497367358E-2</v>
      </c>
      <c r="Q26" s="2">
        <f t="shared" si="3"/>
        <v>36934.148000000001</v>
      </c>
    </row>
    <row r="27" spans="1:17" x14ac:dyDescent="0.2">
      <c r="A27" s="15" t="s">
        <v>38</v>
      </c>
      <c r="B27" s="16" t="s">
        <v>30</v>
      </c>
      <c r="C27" s="17">
        <v>52731.372799999997</v>
      </c>
      <c r="D27" s="18">
        <v>2.0000000000000001E-4</v>
      </c>
      <c r="E27">
        <f t="shared" si="0"/>
        <v>90882.642461079115</v>
      </c>
      <c r="F27">
        <f t="shared" si="4"/>
        <v>90882.5</v>
      </c>
      <c r="G27">
        <f t="shared" si="1"/>
        <v>4.0079999998852145E-2</v>
      </c>
      <c r="I27">
        <f t="shared" si="5"/>
        <v>4.0079999998852145E-2</v>
      </c>
      <c r="O27">
        <f t="shared" si="2"/>
        <v>3.9548862970027909E-2</v>
      </c>
      <c r="Q27" s="2">
        <f t="shared" si="3"/>
        <v>37712.872799999997</v>
      </c>
    </row>
    <row r="28" spans="1:17" x14ac:dyDescent="0.2">
      <c r="A28" s="15" t="s">
        <v>38</v>
      </c>
      <c r="B28" s="16" t="s">
        <v>31</v>
      </c>
      <c r="C28" s="17">
        <v>52731.513200000001</v>
      </c>
      <c r="D28" s="18">
        <v>4.0000000000000002E-4</v>
      </c>
      <c r="E28">
        <f t="shared" si="0"/>
        <v>90883.141501386228</v>
      </c>
      <c r="F28">
        <f t="shared" si="4"/>
        <v>90883</v>
      </c>
      <c r="G28">
        <f t="shared" si="1"/>
        <v>3.981000000203494E-2</v>
      </c>
      <c r="I28">
        <f t="shared" si="5"/>
        <v>3.981000000203494E-2</v>
      </c>
      <c r="O28">
        <f t="shared" si="2"/>
        <v>3.9544476418270857E-2</v>
      </c>
      <c r="Q28" s="2">
        <f t="shared" si="3"/>
        <v>37713.013200000001</v>
      </c>
    </row>
    <row r="29" spans="1:17" x14ac:dyDescent="0.2">
      <c r="A29" s="19" t="s">
        <v>39</v>
      </c>
      <c r="B29" s="6" t="s">
        <v>30</v>
      </c>
      <c r="C29">
        <v>53123.266000000003</v>
      </c>
      <c r="D29" s="6">
        <v>5.0000000000000001E-4</v>
      </c>
      <c r="E29">
        <f t="shared" si="0"/>
        <v>92275.594760787673</v>
      </c>
      <c r="F29">
        <f t="shared" si="4"/>
        <v>92275.5</v>
      </c>
      <c r="G29">
        <f t="shared" si="1"/>
        <v>2.666000000317581E-2</v>
      </c>
      <c r="I29">
        <f t="shared" si="5"/>
        <v>2.666000000317581E-2</v>
      </c>
      <c r="O29">
        <f t="shared" si="2"/>
        <v>2.7327929774730308E-2</v>
      </c>
      <c r="Q29" s="2">
        <f t="shared" si="3"/>
        <v>38104.766000000003</v>
      </c>
    </row>
    <row r="30" spans="1:17" x14ac:dyDescent="0.2">
      <c r="A30" s="20" t="s">
        <v>41</v>
      </c>
      <c r="B30" s="16" t="s">
        <v>30</v>
      </c>
      <c r="C30" s="21">
        <v>53081.347000000002</v>
      </c>
      <c r="D30" s="22">
        <v>1E-3</v>
      </c>
      <c r="E30">
        <f t="shared" si="0"/>
        <v>92126.597106703644</v>
      </c>
      <c r="F30">
        <f t="shared" si="4"/>
        <v>92126.5</v>
      </c>
      <c r="G30">
        <f t="shared" si="1"/>
        <v>2.7320000001054723E-2</v>
      </c>
      <c r="I30">
        <f t="shared" si="5"/>
        <v>2.7320000001054723E-2</v>
      </c>
      <c r="O30">
        <f t="shared" si="2"/>
        <v>2.8635122198347962E-2</v>
      </c>
      <c r="Q30" s="2">
        <f t="shared" si="3"/>
        <v>38062.847000000002</v>
      </c>
    </row>
    <row r="31" spans="1:17" x14ac:dyDescent="0.2">
      <c r="A31" s="20" t="s">
        <v>41</v>
      </c>
      <c r="B31" s="16" t="s">
        <v>31</v>
      </c>
      <c r="C31" s="21">
        <v>53081.489699999998</v>
      </c>
      <c r="D31" s="22">
        <v>2.0000000000000001E-4</v>
      </c>
      <c r="E31">
        <f t="shared" si="0"/>
        <v>92127.104322172454</v>
      </c>
      <c r="F31">
        <f t="shared" si="4"/>
        <v>92127</v>
      </c>
      <c r="G31">
        <f t="shared" si="1"/>
        <v>2.9350000004342292E-2</v>
      </c>
      <c r="I31">
        <f t="shared" si="5"/>
        <v>2.9350000004342292E-2</v>
      </c>
      <c r="O31">
        <f t="shared" si="2"/>
        <v>2.8630735646590799E-2</v>
      </c>
      <c r="Q31" s="2">
        <f t="shared" si="3"/>
        <v>38062.989699999998</v>
      </c>
    </row>
    <row r="32" spans="1:17" x14ac:dyDescent="0.2">
      <c r="A32" s="20" t="s">
        <v>41</v>
      </c>
      <c r="B32" s="16" t="s">
        <v>30</v>
      </c>
      <c r="C32" s="21">
        <v>53081.628299999997</v>
      </c>
      <c r="D32" s="22">
        <v>4.0000000000000002E-4</v>
      </c>
      <c r="E32">
        <f t="shared" si="0"/>
        <v>92127.596964526907</v>
      </c>
      <c r="F32">
        <f t="shared" si="4"/>
        <v>92127.5</v>
      </c>
      <c r="G32">
        <f t="shared" si="1"/>
        <v>2.727999999478925E-2</v>
      </c>
      <c r="I32">
        <f t="shared" si="5"/>
        <v>2.727999999478925E-2</v>
      </c>
      <c r="O32">
        <f t="shared" si="2"/>
        <v>2.8626349094833747E-2</v>
      </c>
      <c r="Q32" s="2">
        <f t="shared" si="3"/>
        <v>38063.128299999997</v>
      </c>
    </row>
    <row r="33" spans="1:17" x14ac:dyDescent="0.2">
      <c r="A33" s="20" t="s">
        <v>41</v>
      </c>
      <c r="B33" s="16" t="s">
        <v>31</v>
      </c>
      <c r="C33" s="21">
        <v>53464.385999999999</v>
      </c>
      <c r="D33" s="22">
        <v>1E-3</v>
      </c>
      <c r="E33">
        <f t="shared" si="0"/>
        <v>93488.07787730149</v>
      </c>
      <c r="F33">
        <f t="shared" si="4"/>
        <v>93488</v>
      </c>
      <c r="G33">
        <f t="shared" si="1"/>
        <v>2.1909999995841645E-2</v>
      </c>
      <c r="I33">
        <f t="shared" si="5"/>
        <v>2.1909999995841645E-2</v>
      </c>
      <c r="O33">
        <f t="shared" si="2"/>
        <v>1.6690541763747957E-2</v>
      </c>
      <c r="Q33" s="2">
        <f t="shared" si="3"/>
        <v>38445.885999999999</v>
      </c>
    </row>
    <row r="34" spans="1:17" x14ac:dyDescent="0.2">
      <c r="A34" s="20" t="s">
        <v>41</v>
      </c>
      <c r="B34" s="16" t="s">
        <v>30</v>
      </c>
      <c r="C34" s="21">
        <v>53464.518300000003</v>
      </c>
      <c r="D34" s="22">
        <v>6.9999999999999999E-4</v>
      </c>
      <c r="E34">
        <f t="shared" si="0"/>
        <v>93488.548126821654</v>
      </c>
      <c r="F34">
        <f t="shared" si="4"/>
        <v>93488.5</v>
      </c>
      <c r="G34">
        <f t="shared" si="1"/>
        <v>1.3540000007196795E-2</v>
      </c>
      <c r="I34">
        <f t="shared" si="5"/>
        <v>1.3540000007196795E-2</v>
      </c>
      <c r="O34">
        <f t="shared" si="2"/>
        <v>1.6686155211990905E-2</v>
      </c>
      <c r="Q34" s="2">
        <f t="shared" si="3"/>
        <v>38446.018300000003</v>
      </c>
    </row>
    <row r="35" spans="1:17" x14ac:dyDescent="0.2">
      <c r="A35" t="s">
        <v>37</v>
      </c>
      <c r="B35" s="6" t="s">
        <v>30</v>
      </c>
      <c r="C35">
        <v>53123.266000000003</v>
      </c>
      <c r="D35" s="6">
        <v>5.0000000000000001E-4</v>
      </c>
      <c r="E35">
        <f t="shared" si="0"/>
        <v>92275.594760787673</v>
      </c>
      <c r="F35">
        <f t="shared" si="4"/>
        <v>92275.5</v>
      </c>
      <c r="G35">
        <f t="shared" si="1"/>
        <v>2.666000000317581E-2</v>
      </c>
      <c r="J35">
        <f>G35</f>
        <v>2.666000000317581E-2</v>
      </c>
      <c r="O35">
        <f t="shared" si="2"/>
        <v>2.7327929774730308E-2</v>
      </c>
      <c r="Q35" s="2">
        <f t="shared" si="3"/>
        <v>38104.766000000003</v>
      </c>
    </row>
    <row r="36" spans="1:17" x14ac:dyDescent="0.2">
      <c r="D36" s="6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topLeftCell="A7" workbookViewId="0">
      <selection activeCell="A30" sqref="A30:D30"/>
    </sheetView>
  </sheetViews>
  <sheetFormatPr defaultRowHeight="12.75" x14ac:dyDescent="0.2"/>
  <cols>
    <col min="1" max="1" width="19.7109375" style="11" customWidth="1"/>
    <col min="2" max="2" width="4.42578125" style="15" customWidth="1"/>
    <col min="3" max="3" width="12.7109375" style="11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1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53" t="s">
        <v>62</v>
      </c>
      <c r="I1" s="54" t="s">
        <v>63</v>
      </c>
      <c r="J1" s="55" t="s">
        <v>64</v>
      </c>
    </row>
    <row r="2" spans="1:16" x14ac:dyDescent="0.2">
      <c r="I2" s="56" t="s">
        <v>65</v>
      </c>
      <c r="J2" s="57" t="s">
        <v>66</v>
      </c>
    </row>
    <row r="3" spans="1:16" x14ac:dyDescent="0.2">
      <c r="A3" s="58" t="s">
        <v>67</v>
      </c>
      <c r="I3" s="56" t="s">
        <v>68</v>
      </c>
      <c r="J3" s="57" t="s">
        <v>69</v>
      </c>
    </row>
    <row r="4" spans="1:16" x14ac:dyDescent="0.2">
      <c r="I4" s="56" t="s">
        <v>70</v>
      </c>
      <c r="J4" s="57" t="s">
        <v>69</v>
      </c>
    </row>
    <row r="5" spans="1:16" ht="13.5" thickBot="1" x14ac:dyDescent="0.25">
      <c r="I5" s="59" t="s">
        <v>71</v>
      </c>
      <c r="J5" s="60" t="s">
        <v>72</v>
      </c>
    </row>
    <row r="10" spans="1:16" ht="13.5" thickBot="1" x14ac:dyDescent="0.25"/>
    <row r="11" spans="1:16" ht="12.75" customHeight="1" thickBot="1" x14ac:dyDescent="0.25">
      <c r="A11" s="11" t="str">
        <f t="shared" ref="A11:A30" si="0">P11</f>
        <v>IBVS 5579 </v>
      </c>
      <c r="B11" s="6" t="str">
        <f t="shared" ref="B11:B30" si="1">IF(H11=INT(H11),"I","II")</f>
        <v>I</v>
      </c>
      <c r="C11" s="11">
        <f t="shared" ref="C11:C30" si="2">1*G11</f>
        <v>52731.372799999997</v>
      </c>
      <c r="D11" s="15" t="str">
        <f t="shared" ref="D11:D30" si="3">VLOOKUP(F11,I$1:J$5,2,FALSE)</f>
        <v>vis</v>
      </c>
      <c r="E11" s="61">
        <f>VLOOKUP(C11,Active!C$21:E$972,3,FALSE)</f>
        <v>90885.494191787511</v>
      </c>
      <c r="F11" s="6" t="s">
        <v>71</v>
      </c>
      <c r="G11" s="15" t="str">
        <f t="shared" ref="G11:G30" si="4">MID(I11,3,LEN(I11)-3)</f>
        <v>52731.3728</v>
      </c>
      <c r="H11" s="11">
        <f t="shared" ref="H11:H30" si="5">1*K11</f>
        <v>53006</v>
      </c>
      <c r="I11" s="62" t="s">
        <v>73</v>
      </c>
      <c r="J11" s="63" t="s">
        <v>74</v>
      </c>
      <c r="K11" s="62">
        <v>53006</v>
      </c>
      <c r="L11" s="62" t="s">
        <v>75</v>
      </c>
      <c r="M11" s="63" t="s">
        <v>76</v>
      </c>
      <c r="N11" s="63" t="s">
        <v>77</v>
      </c>
      <c r="O11" s="64" t="s">
        <v>78</v>
      </c>
      <c r="P11" s="65" t="s">
        <v>79</v>
      </c>
    </row>
    <row r="12" spans="1:16" ht="12.75" customHeight="1" thickBot="1" x14ac:dyDescent="0.25">
      <c r="A12" s="11" t="str">
        <f t="shared" si="0"/>
        <v>IBVS 5579 </v>
      </c>
      <c r="B12" s="6" t="str">
        <f t="shared" si="1"/>
        <v>II</v>
      </c>
      <c r="C12" s="11">
        <f t="shared" si="2"/>
        <v>52731.513200000001</v>
      </c>
      <c r="D12" s="15" t="str">
        <f t="shared" si="3"/>
        <v>vis</v>
      </c>
      <c r="E12" s="61">
        <f>VLOOKUP(C12,Active!C$21:E$972,3,FALSE)</f>
        <v>90885.993247753519</v>
      </c>
      <c r="F12" s="6" t="s">
        <v>71</v>
      </c>
      <c r="G12" s="15" t="str">
        <f t="shared" si="4"/>
        <v>52731.5132</v>
      </c>
      <c r="H12" s="11">
        <f t="shared" si="5"/>
        <v>53006.5</v>
      </c>
      <c r="I12" s="62" t="s">
        <v>80</v>
      </c>
      <c r="J12" s="63" t="s">
        <v>81</v>
      </c>
      <c r="K12" s="62">
        <v>53006.5</v>
      </c>
      <c r="L12" s="62" t="s">
        <v>82</v>
      </c>
      <c r="M12" s="63" t="s">
        <v>76</v>
      </c>
      <c r="N12" s="63" t="s">
        <v>77</v>
      </c>
      <c r="O12" s="64" t="s">
        <v>78</v>
      </c>
      <c r="P12" s="65" t="s">
        <v>79</v>
      </c>
    </row>
    <row r="13" spans="1:16" ht="12.75" customHeight="1" thickBot="1" x14ac:dyDescent="0.25">
      <c r="A13" s="11" t="str">
        <f t="shared" si="0"/>
        <v>IBVS 5684 </v>
      </c>
      <c r="B13" s="6" t="str">
        <f t="shared" si="1"/>
        <v>II</v>
      </c>
      <c r="C13" s="11">
        <f t="shared" si="2"/>
        <v>53081.347000000002</v>
      </c>
      <c r="D13" s="15" t="str">
        <f t="shared" si="3"/>
        <v>vis</v>
      </c>
      <c r="E13" s="61">
        <f>VLOOKUP(C13,Active!C$21:E$972,3,FALSE)</f>
        <v>92129.487870213576</v>
      </c>
      <c r="F13" s="6" t="s">
        <v>71</v>
      </c>
      <c r="G13" s="15" t="str">
        <f t="shared" si="4"/>
        <v>53081.347</v>
      </c>
      <c r="H13" s="11">
        <f t="shared" si="5"/>
        <v>54246.5</v>
      </c>
      <c r="I13" s="62" t="s">
        <v>83</v>
      </c>
      <c r="J13" s="63" t="s">
        <v>84</v>
      </c>
      <c r="K13" s="62">
        <v>54246.5</v>
      </c>
      <c r="L13" s="62" t="s">
        <v>85</v>
      </c>
      <c r="M13" s="63" t="s">
        <v>76</v>
      </c>
      <c r="N13" s="63" t="s">
        <v>77</v>
      </c>
      <c r="O13" s="64" t="s">
        <v>86</v>
      </c>
      <c r="P13" s="65" t="s">
        <v>87</v>
      </c>
    </row>
    <row r="14" spans="1:16" ht="12.75" customHeight="1" thickBot="1" x14ac:dyDescent="0.25">
      <c r="A14" s="11" t="str">
        <f t="shared" si="0"/>
        <v>IBVS 5684 </v>
      </c>
      <c r="B14" s="6" t="str">
        <f t="shared" si="1"/>
        <v>I</v>
      </c>
      <c r="C14" s="11">
        <f t="shared" si="2"/>
        <v>53081.489699999998</v>
      </c>
      <c r="D14" s="15" t="str">
        <f t="shared" si="3"/>
        <v>vis</v>
      </c>
      <c r="E14" s="61">
        <f>VLOOKUP(C14,Active!C$21:E$972,3,FALSE)</f>
        <v>92129.9951015978</v>
      </c>
      <c r="F14" s="6" t="s">
        <v>71</v>
      </c>
      <c r="G14" s="15" t="str">
        <f t="shared" si="4"/>
        <v>53081.4897</v>
      </c>
      <c r="H14" s="11">
        <f t="shared" si="5"/>
        <v>54247</v>
      </c>
      <c r="I14" s="62" t="s">
        <v>88</v>
      </c>
      <c r="J14" s="63" t="s">
        <v>89</v>
      </c>
      <c r="K14" s="62">
        <v>54247</v>
      </c>
      <c r="L14" s="62" t="s">
        <v>90</v>
      </c>
      <c r="M14" s="63" t="s">
        <v>76</v>
      </c>
      <c r="N14" s="63" t="s">
        <v>77</v>
      </c>
      <c r="O14" s="64" t="s">
        <v>86</v>
      </c>
      <c r="P14" s="65" t="s">
        <v>87</v>
      </c>
    </row>
    <row r="15" spans="1:16" ht="12.75" customHeight="1" thickBot="1" x14ac:dyDescent="0.25">
      <c r="A15" s="11" t="str">
        <f t="shared" si="0"/>
        <v>IBVS 5684 </v>
      </c>
      <c r="B15" s="6" t="str">
        <f t="shared" si="1"/>
        <v>II</v>
      </c>
      <c r="C15" s="11">
        <f t="shared" si="2"/>
        <v>53081.628299999997</v>
      </c>
      <c r="D15" s="15" t="str">
        <f t="shared" si="3"/>
        <v>vis</v>
      </c>
      <c r="E15" s="61">
        <f>VLOOKUP(C15,Active!C$21:E$972,3,FALSE)</f>
        <v>92130.487759410375</v>
      </c>
      <c r="F15" s="6" t="s">
        <v>71</v>
      </c>
      <c r="G15" s="15" t="str">
        <f t="shared" si="4"/>
        <v>53081.6283</v>
      </c>
      <c r="H15" s="11">
        <f t="shared" si="5"/>
        <v>54247.5</v>
      </c>
      <c r="I15" s="62" t="s">
        <v>91</v>
      </c>
      <c r="J15" s="63" t="s">
        <v>92</v>
      </c>
      <c r="K15" s="62">
        <v>54247.5</v>
      </c>
      <c r="L15" s="62" t="s">
        <v>93</v>
      </c>
      <c r="M15" s="63" t="s">
        <v>76</v>
      </c>
      <c r="N15" s="63" t="s">
        <v>77</v>
      </c>
      <c r="O15" s="64" t="s">
        <v>86</v>
      </c>
      <c r="P15" s="65" t="s">
        <v>87</v>
      </c>
    </row>
    <row r="16" spans="1:16" ht="12.75" customHeight="1" thickBot="1" x14ac:dyDescent="0.25">
      <c r="A16" s="11" t="str">
        <f t="shared" si="0"/>
        <v>IBVS 5592 </v>
      </c>
      <c r="B16" s="6" t="str">
        <f t="shared" si="1"/>
        <v>I</v>
      </c>
      <c r="C16" s="11">
        <f t="shared" si="2"/>
        <v>53123.266000000003</v>
      </c>
      <c r="D16" s="15" t="str">
        <f t="shared" si="3"/>
        <v>vis</v>
      </c>
      <c r="E16" s="61">
        <f>VLOOKUP(C16,Active!C$21:E$972,3,FALSE)</f>
        <v>92278.490199545122</v>
      </c>
      <c r="F16" s="6" t="s">
        <v>71</v>
      </c>
      <c r="G16" s="15" t="str">
        <f t="shared" si="4"/>
        <v>53123.2660</v>
      </c>
      <c r="H16" s="11">
        <f t="shared" si="5"/>
        <v>54395</v>
      </c>
      <c r="I16" s="62" t="s">
        <v>94</v>
      </c>
      <c r="J16" s="63" t="s">
        <v>95</v>
      </c>
      <c r="K16" s="62">
        <v>54395</v>
      </c>
      <c r="L16" s="62" t="s">
        <v>96</v>
      </c>
      <c r="M16" s="63" t="s">
        <v>76</v>
      </c>
      <c r="N16" s="63" t="s">
        <v>77</v>
      </c>
      <c r="O16" s="64" t="s">
        <v>97</v>
      </c>
      <c r="P16" s="65" t="s">
        <v>98</v>
      </c>
    </row>
    <row r="17" spans="1:16" ht="12.75" customHeight="1" thickBot="1" x14ac:dyDescent="0.25">
      <c r="A17" s="11" t="str">
        <f t="shared" si="0"/>
        <v>IBVS 5684 </v>
      </c>
      <c r="B17" s="6" t="str">
        <f t="shared" si="1"/>
        <v>II</v>
      </c>
      <c r="C17" s="11">
        <f t="shared" si="2"/>
        <v>53464.385999999999</v>
      </c>
      <c r="D17" s="15" t="str">
        <f t="shared" si="3"/>
        <v>vis</v>
      </c>
      <c r="E17" s="61">
        <f>VLOOKUP(C17,Active!C$21:E$972,3,FALSE)</f>
        <v>93491.011361347017</v>
      </c>
      <c r="F17" s="6" t="s">
        <v>71</v>
      </c>
      <c r="G17" s="15" t="str">
        <f t="shared" si="4"/>
        <v>53464.386</v>
      </c>
      <c r="H17" s="11">
        <f t="shared" si="5"/>
        <v>55604.5</v>
      </c>
      <c r="I17" s="62" t="s">
        <v>99</v>
      </c>
      <c r="J17" s="63" t="s">
        <v>100</v>
      </c>
      <c r="K17" s="62">
        <v>55604.5</v>
      </c>
      <c r="L17" s="62" t="s">
        <v>101</v>
      </c>
      <c r="M17" s="63" t="s">
        <v>76</v>
      </c>
      <c r="N17" s="63" t="s">
        <v>77</v>
      </c>
      <c r="O17" s="64" t="s">
        <v>86</v>
      </c>
      <c r="P17" s="65" t="s">
        <v>87</v>
      </c>
    </row>
    <row r="18" spans="1:16" ht="12.75" customHeight="1" thickBot="1" x14ac:dyDescent="0.25">
      <c r="A18" s="11" t="str">
        <f t="shared" si="0"/>
        <v>IBVS 5684 </v>
      </c>
      <c r="B18" s="6" t="str">
        <f t="shared" si="1"/>
        <v>I</v>
      </c>
      <c r="C18" s="11">
        <f t="shared" si="2"/>
        <v>53464.518300000003</v>
      </c>
      <c r="D18" s="15" t="str">
        <f t="shared" si="3"/>
        <v>vis</v>
      </c>
      <c r="E18" s="61">
        <f>VLOOKUP(C18,Active!C$21:E$972,3,FALSE)</f>
        <v>93491.481625622677</v>
      </c>
      <c r="F18" s="6" t="s">
        <v>71</v>
      </c>
      <c r="G18" s="15" t="str">
        <f t="shared" si="4"/>
        <v>53464.5183</v>
      </c>
      <c r="H18" s="11">
        <f t="shared" si="5"/>
        <v>55605</v>
      </c>
      <c r="I18" s="62" t="s">
        <v>102</v>
      </c>
      <c r="J18" s="63" t="s">
        <v>103</v>
      </c>
      <c r="K18" s="62">
        <v>55605</v>
      </c>
      <c r="L18" s="62" t="s">
        <v>104</v>
      </c>
      <c r="M18" s="63" t="s">
        <v>76</v>
      </c>
      <c r="N18" s="63" t="s">
        <v>77</v>
      </c>
      <c r="O18" s="64" t="s">
        <v>86</v>
      </c>
      <c r="P18" s="65" t="s">
        <v>87</v>
      </c>
    </row>
    <row r="19" spans="1:16" ht="12.75" customHeight="1" thickBot="1" x14ac:dyDescent="0.25">
      <c r="A19" s="11" t="str">
        <f t="shared" si="0"/>
        <v>BAVM 209 </v>
      </c>
      <c r="B19" s="6" t="str">
        <f t="shared" si="1"/>
        <v>II</v>
      </c>
      <c r="C19" s="11">
        <f t="shared" si="2"/>
        <v>54831.6443</v>
      </c>
      <c r="D19" s="15" t="str">
        <f t="shared" si="3"/>
        <v>vis</v>
      </c>
      <c r="E19" s="61">
        <f>VLOOKUP(C19,Active!C$21:E$972,3,FALSE)</f>
        <v>98350.97155834311</v>
      </c>
      <c r="F19" s="6" t="s">
        <v>71</v>
      </c>
      <c r="G19" s="15" t="str">
        <f t="shared" si="4"/>
        <v>54831.6443</v>
      </c>
      <c r="H19" s="11">
        <f t="shared" si="5"/>
        <v>60451.5</v>
      </c>
      <c r="I19" s="62" t="s">
        <v>105</v>
      </c>
      <c r="J19" s="63" t="s">
        <v>106</v>
      </c>
      <c r="K19" s="62">
        <v>60451.5</v>
      </c>
      <c r="L19" s="62" t="s">
        <v>107</v>
      </c>
      <c r="M19" s="63" t="s">
        <v>108</v>
      </c>
      <c r="N19" s="63" t="s">
        <v>109</v>
      </c>
      <c r="O19" s="64" t="s">
        <v>110</v>
      </c>
      <c r="P19" s="65" t="s">
        <v>111</v>
      </c>
    </row>
    <row r="20" spans="1:16" ht="12.75" customHeight="1" thickBot="1" x14ac:dyDescent="0.25">
      <c r="A20" s="11" t="str">
        <f t="shared" si="0"/>
        <v>IBVS 5894 </v>
      </c>
      <c r="B20" s="6" t="str">
        <f t="shared" si="1"/>
        <v>II</v>
      </c>
      <c r="C20" s="11">
        <f t="shared" si="2"/>
        <v>54881.858200000002</v>
      </c>
      <c r="D20" s="15" t="str">
        <f t="shared" si="3"/>
        <v>vis</v>
      </c>
      <c r="E20" s="61">
        <f>VLOOKUP(C20,Active!C$21:E$972,3,FALSE)</f>
        <v>98529.458355853087</v>
      </c>
      <c r="F20" s="6" t="s">
        <v>71</v>
      </c>
      <c r="G20" s="15" t="str">
        <f t="shared" si="4"/>
        <v>54881.8582</v>
      </c>
      <c r="H20" s="11">
        <f t="shared" si="5"/>
        <v>60629.5</v>
      </c>
      <c r="I20" s="62" t="s">
        <v>112</v>
      </c>
      <c r="J20" s="63" t="s">
        <v>113</v>
      </c>
      <c r="K20" s="62">
        <v>60629.5</v>
      </c>
      <c r="L20" s="62" t="s">
        <v>114</v>
      </c>
      <c r="M20" s="63" t="s">
        <v>108</v>
      </c>
      <c r="N20" s="63" t="s">
        <v>71</v>
      </c>
      <c r="O20" s="64" t="s">
        <v>115</v>
      </c>
      <c r="P20" s="65" t="s">
        <v>116</v>
      </c>
    </row>
    <row r="21" spans="1:16" ht="12.75" customHeight="1" thickBot="1" x14ac:dyDescent="0.25">
      <c r="A21" s="11" t="str">
        <f t="shared" si="0"/>
        <v>IBVS 5894 </v>
      </c>
      <c r="B21" s="6" t="str">
        <f t="shared" si="1"/>
        <v>I</v>
      </c>
      <c r="C21" s="11">
        <f t="shared" si="2"/>
        <v>54957.677499999998</v>
      </c>
      <c r="D21" s="15" t="str">
        <f t="shared" si="3"/>
        <v>vis</v>
      </c>
      <c r="E21" s="61">
        <f>VLOOKUP(C21,Active!C$21:E$972,3,FALSE)</f>
        <v>98798.960307433183</v>
      </c>
      <c r="F21" s="6" t="s">
        <v>71</v>
      </c>
      <c r="G21" s="15" t="str">
        <f t="shared" si="4"/>
        <v>54957.6775</v>
      </c>
      <c r="H21" s="11">
        <f t="shared" si="5"/>
        <v>60898</v>
      </c>
      <c r="I21" s="62" t="s">
        <v>117</v>
      </c>
      <c r="J21" s="63" t="s">
        <v>118</v>
      </c>
      <c r="K21" s="62">
        <v>60898</v>
      </c>
      <c r="L21" s="62" t="s">
        <v>119</v>
      </c>
      <c r="M21" s="63" t="s">
        <v>108</v>
      </c>
      <c r="N21" s="63" t="s">
        <v>71</v>
      </c>
      <c r="O21" s="64" t="s">
        <v>115</v>
      </c>
      <c r="P21" s="65" t="s">
        <v>116</v>
      </c>
    </row>
    <row r="22" spans="1:16" ht="12.75" customHeight="1" thickBot="1" x14ac:dyDescent="0.25">
      <c r="A22" s="11" t="str">
        <f t="shared" si="0"/>
        <v>IBVS 5945 </v>
      </c>
      <c r="B22" s="6" t="str">
        <f t="shared" si="1"/>
        <v>I</v>
      </c>
      <c r="C22" s="11">
        <f t="shared" si="2"/>
        <v>55276.707000000002</v>
      </c>
      <c r="D22" s="15" t="str">
        <f t="shared" si="3"/>
        <v>vis</v>
      </c>
      <c r="E22" s="61">
        <f>VLOOKUP(C22,Active!C$21:E$972,3,FALSE)</f>
        <v>99932.960131510015</v>
      </c>
      <c r="F22" s="6" t="s">
        <v>71</v>
      </c>
      <c r="G22" s="15" t="str">
        <f t="shared" si="4"/>
        <v>55276.7070</v>
      </c>
      <c r="H22" s="11">
        <f t="shared" si="5"/>
        <v>62029</v>
      </c>
      <c r="I22" s="62" t="s">
        <v>120</v>
      </c>
      <c r="J22" s="63" t="s">
        <v>121</v>
      </c>
      <c r="K22" s="62">
        <v>62029</v>
      </c>
      <c r="L22" s="62" t="s">
        <v>122</v>
      </c>
      <c r="M22" s="63" t="s">
        <v>108</v>
      </c>
      <c r="N22" s="63" t="s">
        <v>71</v>
      </c>
      <c r="O22" s="64" t="s">
        <v>115</v>
      </c>
      <c r="P22" s="65" t="s">
        <v>123</v>
      </c>
    </row>
    <row r="23" spans="1:16" ht="12.75" customHeight="1" thickBot="1" x14ac:dyDescent="0.25">
      <c r="A23" s="11" t="str">
        <f t="shared" si="0"/>
        <v>BAVM 234 </v>
      </c>
      <c r="B23" s="6" t="str">
        <f t="shared" si="1"/>
        <v>I</v>
      </c>
      <c r="C23" s="11">
        <f t="shared" si="2"/>
        <v>55279.383600000001</v>
      </c>
      <c r="D23" s="15" t="str">
        <f t="shared" si="3"/>
        <v>vis</v>
      </c>
      <c r="E23" s="61">
        <f>VLOOKUP(C23,Active!C$21:E$972,3,FALSE)</f>
        <v>99942.474185630781</v>
      </c>
      <c r="F23" s="6" t="s">
        <v>71</v>
      </c>
      <c r="G23" s="15" t="str">
        <f t="shared" si="4"/>
        <v>55279.3836</v>
      </c>
      <c r="H23" s="11">
        <f t="shared" si="5"/>
        <v>62039</v>
      </c>
      <c r="I23" s="62" t="s">
        <v>124</v>
      </c>
      <c r="J23" s="63" t="s">
        <v>125</v>
      </c>
      <c r="K23" s="62">
        <v>62039</v>
      </c>
      <c r="L23" s="62" t="s">
        <v>126</v>
      </c>
      <c r="M23" s="63" t="s">
        <v>108</v>
      </c>
      <c r="N23" s="63" t="s">
        <v>109</v>
      </c>
      <c r="O23" s="64" t="s">
        <v>110</v>
      </c>
      <c r="P23" s="65" t="s">
        <v>127</v>
      </c>
    </row>
    <row r="24" spans="1:16" ht="12.75" customHeight="1" thickBot="1" x14ac:dyDescent="0.25">
      <c r="A24" s="11" t="str">
        <f t="shared" si="0"/>
        <v>IBVS 5992 </v>
      </c>
      <c r="B24" s="6" t="str">
        <f t="shared" si="1"/>
        <v>II</v>
      </c>
      <c r="C24" s="11">
        <f t="shared" si="2"/>
        <v>55615.851799999997</v>
      </c>
      <c r="D24" s="15" t="str">
        <f t="shared" si="3"/>
        <v>vis</v>
      </c>
      <c r="E24" s="61">
        <f>VLOOKUP(C24,Active!C$21:E$972,3,FALSE)</f>
        <v>101138.46038630325</v>
      </c>
      <c r="F24" s="6" t="s">
        <v>71</v>
      </c>
      <c r="G24" s="15" t="str">
        <f t="shared" si="4"/>
        <v>55615.8518</v>
      </c>
      <c r="H24" s="11">
        <f t="shared" si="5"/>
        <v>63231.5</v>
      </c>
      <c r="I24" s="62" t="s">
        <v>128</v>
      </c>
      <c r="J24" s="63" t="s">
        <v>129</v>
      </c>
      <c r="K24" s="62">
        <v>63231.5</v>
      </c>
      <c r="L24" s="62" t="s">
        <v>130</v>
      </c>
      <c r="M24" s="63" t="s">
        <v>108</v>
      </c>
      <c r="N24" s="63" t="s">
        <v>71</v>
      </c>
      <c r="O24" s="64" t="s">
        <v>115</v>
      </c>
      <c r="P24" s="65" t="s">
        <v>131</v>
      </c>
    </row>
    <row r="25" spans="1:16" ht="12.75" customHeight="1" thickBot="1" x14ac:dyDescent="0.25">
      <c r="A25" s="11" t="str">
        <f t="shared" si="0"/>
        <v>BAVM 220 </v>
      </c>
      <c r="B25" s="6" t="str">
        <f t="shared" si="1"/>
        <v>II</v>
      </c>
      <c r="C25" s="11">
        <f t="shared" si="2"/>
        <v>55628.512699999999</v>
      </c>
      <c r="D25" s="15" t="str">
        <f t="shared" si="3"/>
        <v>vis</v>
      </c>
      <c r="E25" s="61">
        <f>VLOOKUP(C25,Active!C$21:E$972,3,FALSE)</f>
        <v>101183.4639310308</v>
      </c>
      <c r="F25" s="6" t="s">
        <v>71</v>
      </c>
      <c r="G25" s="15" t="str">
        <f t="shared" si="4"/>
        <v>55628.5127</v>
      </c>
      <c r="H25" s="11">
        <f t="shared" si="5"/>
        <v>63276.5</v>
      </c>
      <c r="I25" s="62" t="s">
        <v>132</v>
      </c>
      <c r="J25" s="63" t="s">
        <v>133</v>
      </c>
      <c r="K25" s="62">
        <v>63276.5</v>
      </c>
      <c r="L25" s="62" t="s">
        <v>134</v>
      </c>
      <c r="M25" s="63" t="s">
        <v>108</v>
      </c>
      <c r="N25" s="63" t="s">
        <v>109</v>
      </c>
      <c r="O25" s="64" t="s">
        <v>110</v>
      </c>
      <c r="P25" s="65" t="s">
        <v>135</v>
      </c>
    </row>
    <row r="26" spans="1:16" ht="12.75" customHeight="1" thickBot="1" x14ac:dyDescent="0.25">
      <c r="A26" s="11" t="str">
        <f t="shared" si="0"/>
        <v>IBVS 6029 </v>
      </c>
      <c r="B26" s="6" t="str">
        <f t="shared" si="1"/>
        <v>I</v>
      </c>
      <c r="C26" s="11">
        <f t="shared" si="2"/>
        <v>55981.864500000003</v>
      </c>
      <c r="D26" s="15" t="str">
        <f t="shared" si="3"/>
        <v>vis</v>
      </c>
      <c r="E26" s="61">
        <f>VLOOKUP(C26,Active!C$21:E$972,3,FALSE)</f>
        <v>102439.46338887789</v>
      </c>
      <c r="F26" s="6" t="s">
        <v>71</v>
      </c>
      <c r="G26" s="15" t="str">
        <f t="shared" si="4"/>
        <v>55981.8645</v>
      </c>
      <c r="H26" s="11">
        <f t="shared" si="5"/>
        <v>64529</v>
      </c>
      <c r="I26" s="62" t="s">
        <v>136</v>
      </c>
      <c r="J26" s="63" t="s">
        <v>137</v>
      </c>
      <c r="K26" s="62">
        <v>64529</v>
      </c>
      <c r="L26" s="62" t="s">
        <v>138</v>
      </c>
      <c r="M26" s="63" t="s">
        <v>108</v>
      </c>
      <c r="N26" s="63" t="s">
        <v>71</v>
      </c>
      <c r="O26" s="64" t="s">
        <v>115</v>
      </c>
      <c r="P26" s="65" t="s">
        <v>139</v>
      </c>
    </row>
    <row r="27" spans="1:16" ht="12.75" customHeight="1" thickBot="1" x14ac:dyDescent="0.25">
      <c r="A27" s="11" t="str">
        <f t="shared" si="0"/>
        <v>IBVS 6029 </v>
      </c>
      <c r="B27" s="6" t="str">
        <f t="shared" si="1"/>
        <v>I</v>
      </c>
      <c r="C27" s="11">
        <f t="shared" si="2"/>
        <v>56048.6829</v>
      </c>
      <c r="D27" s="15" t="str">
        <f t="shared" si="3"/>
        <v>vis</v>
      </c>
      <c r="E27" s="61">
        <f>VLOOKUP(C27,Active!C$21:E$972,3,FALSE)</f>
        <v>102676.97137433094</v>
      </c>
      <c r="F27" s="6" t="s">
        <v>71</v>
      </c>
      <c r="G27" s="15" t="str">
        <f t="shared" si="4"/>
        <v>56048.6829</v>
      </c>
      <c r="H27" s="11">
        <f t="shared" si="5"/>
        <v>64766</v>
      </c>
      <c r="I27" s="62" t="s">
        <v>140</v>
      </c>
      <c r="J27" s="63" t="s">
        <v>141</v>
      </c>
      <c r="K27" s="62">
        <v>64766</v>
      </c>
      <c r="L27" s="62" t="s">
        <v>142</v>
      </c>
      <c r="M27" s="63" t="s">
        <v>108</v>
      </c>
      <c r="N27" s="63" t="s">
        <v>71</v>
      </c>
      <c r="O27" s="64" t="s">
        <v>115</v>
      </c>
      <c r="P27" s="65" t="s">
        <v>139</v>
      </c>
    </row>
    <row r="28" spans="1:16" ht="12.75" customHeight="1" thickBot="1" x14ac:dyDescent="0.25">
      <c r="A28" s="11" t="str">
        <f t="shared" si="0"/>
        <v>IBVS 6063 </v>
      </c>
      <c r="B28" s="6" t="str">
        <f t="shared" si="1"/>
        <v>I</v>
      </c>
      <c r="C28" s="11">
        <f t="shared" si="2"/>
        <v>56338.874400000001</v>
      </c>
      <c r="D28" s="15" t="str">
        <f t="shared" si="3"/>
        <v>vis</v>
      </c>
      <c r="E28" s="61">
        <f>VLOOKUP(C28,Active!C$21:E$972,3,FALSE)</f>
        <v>103708.46567171907</v>
      </c>
      <c r="F28" s="6" t="s">
        <v>71</v>
      </c>
      <c r="G28" s="15" t="str">
        <f t="shared" si="4"/>
        <v>56338.8744</v>
      </c>
      <c r="H28" s="11">
        <f t="shared" si="5"/>
        <v>65795</v>
      </c>
      <c r="I28" s="62" t="s">
        <v>143</v>
      </c>
      <c r="J28" s="63" t="s">
        <v>144</v>
      </c>
      <c r="K28" s="62">
        <v>65795</v>
      </c>
      <c r="L28" s="62" t="s">
        <v>145</v>
      </c>
      <c r="M28" s="63" t="s">
        <v>108</v>
      </c>
      <c r="N28" s="63" t="s">
        <v>146</v>
      </c>
      <c r="O28" s="64" t="s">
        <v>115</v>
      </c>
      <c r="P28" s="65" t="s">
        <v>147</v>
      </c>
    </row>
    <row r="29" spans="1:16" ht="12.75" customHeight="1" thickBot="1" x14ac:dyDescent="0.25">
      <c r="A29" s="11" t="str">
        <f t="shared" si="0"/>
        <v>IBVS 6063 </v>
      </c>
      <c r="B29" s="6" t="str">
        <f t="shared" si="1"/>
        <v>I</v>
      </c>
      <c r="C29" s="11">
        <f t="shared" si="2"/>
        <v>56338.874400000001</v>
      </c>
      <c r="D29" s="15" t="str">
        <f t="shared" si="3"/>
        <v>vis</v>
      </c>
      <c r="E29" s="61">
        <f>VLOOKUP(C29,Active!C$21:E$972,3,FALSE)</f>
        <v>103708.46567171907</v>
      </c>
      <c r="F29" s="6" t="s">
        <v>71</v>
      </c>
      <c r="G29" s="15" t="str">
        <f t="shared" si="4"/>
        <v>56338.8744</v>
      </c>
      <c r="H29" s="11">
        <f t="shared" si="5"/>
        <v>65795</v>
      </c>
      <c r="I29" s="62" t="s">
        <v>143</v>
      </c>
      <c r="J29" s="63" t="s">
        <v>144</v>
      </c>
      <c r="K29" s="62">
        <v>65795</v>
      </c>
      <c r="L29" s="62" t="s">
        <v>145</v>
      </c>
      <c r="M29" s="63" t="s">
        <v>108</v>
      </c>
      <c r="N29" s="63" t="s">
        <v>148</v>
      </c>
      <c r="O29" s="64" t="s">
        <v>115</v>
      </c>
      <c r="P29" s="65" t="s">
        <v>147</v>
      </c>
    </row>
    <row r="30" spans="1:16" ht="12.75" customHeight="1" thickBot="1" x14ac:dyDescent="0.25">
      <c r="A30" s="11" t="str">
        <f t="shared" si="0"/>
        <v>IBVS 6063 </v>
      </c>
      <c r="B30" s="6" t="str">
        <f t="shared" si="1"/>
        <v>I</v>
      </c>
      <c r="C30" s="11">
        <f t="shared" si="2"/>
        <v>56338.874799999998</v>
      </c>
      <c r="D30" s="15" t="str">
        <f t="shared" si="3"/>
        <v>vis</v>
      </c>
      <c r="E30" s="61" t="e">
        <f>VLOOKUP(C30,Active!C$21:E$972,3,FALSE)</f>
        <v>#N/A</v>
      </c>
      <c r="F30" s="6" t="s">
        <v>71</v>
      </c>
      <c r="G30" s="15" t="str">
        <f t="shared" si="4"/>
        <v>56338.8748</v>
      </c>
      <c r="H30" s="11">
        <f t="shared" si="5"/>
        <v>65795</v>
      </c>
      <c r="I30" s="62" t="s">
        <v>149</v>
      </c>
      <c r="J30" s="63" t="s">
        <v>144</v>
      </c>
      <c r="K30" s="62">
        <v>65795</v>
      </c>
      <c r="L30" s="62" t="s">
        <v>150</v>
      </c>
      <c r="M30" s="63" t="s">
        <v>108</v>
      </c>
      <c r="N30" s="63" t="s">
        <v>71</v>
      </c>
      <c r="O30" s="64" t="s">
        <v>115</v>
      </c>
      <c r="P30" s="65" t="s">
        <v>147</v>
      </c>
    </row>
    <row r="31" spans="1:16" x14ac:dyDescent="0.2">
      <c r="B31" s="6"/>
      <c r="F31" s="6"/>
    </row>
    <row r="32" spans="1:1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</sheetData>
  <phoneticPr fontId="7" type="noConversion"/>
  <hyperlinks>
    <hyperlink ref="P11" r:id="rId1" display="http://www.konkoly.hu/cgi-bin/IBVS?5579"/>
    <hyperlink ref="P12" r:id="rId2" display="http://www.konkoly.hu/cgi-bin/IBVS?5579"/>
    <hyperlink ref="P13" r:id="rId3" display="http://www.konkoly.hu/cgi-bin/IBVS?5684"/>
    <hyperlink ref="P14" r:id="rId4" display="http://www.konkoly.hu/cgi-bin/IBVS?5684"/>
    <hyperlink ref="P15" r:id="rId5" display="http://www.konkoly.hu/cgi-bin/IBVS?5684"/>
    <hyperlink ref="P16" r:id="rId6" display="http://www.konkoly.hu/cgi-bin/IBVS?5592"/>
    <hyperlink ref="P17" r:id="rId7" display="http://www.konkoly.hu/cgi-bin/IBVS?5684"/>
    <hyperlink ref="P18" r:id="rId8" display="http://www.konkoly.hu/cgi-bin/IBVS?5684"/>
    <hyperlink ref="P19" r:id="rId9" display="http://www.bav-astro.de/sfs/BAVM_link.php?BAVMnr=209"/>
    <hyperlink ref="P20" r:id="rId10" display="http://www.konkoly.hu/cgi-bin/IBVS?5894"/>
    <hyperlink ref="P21" r:id="rId11" display="http://www.konkoly.hu/cgi-bin/IBVS?5894"/>
    <hyperlink ref="P22" r:id="rId12" display="http://www.konkoly.hu/cgi-bin/IBVS?5945"/>
    <hyperlink ref="P23" r:id="rId13" display="http://www.bav-astro.de/sfs/BAVM_link.php?BAVMnr=234"/>
    <hyperlink ref="P24" r:id="rId14" display="http://www.konkoly.hu/cgi-bin/IBVS?5992"/>
    <hyperlink ref="P25" r:id="rId15" display="http://www.bav-astro.de/sfs/BAVM_link.php?BAVMnr=220"/>
    <hyperlink ref="P26" r:id="rId16" display="http://www.konkoly.hu/cgi-bin/IBVS?6029"/>
    <hyperlink ref="P27" r:id="rId17" display="http://www.konkoly.hu/cgi-bin/IBVS?6029"/>
    <hyperlink ref="P28" r:id="rId18" display="http://www.konkoly.hu/cgi-bin/IBVS?6063"/>
    <hyperlink ref="P29" r:id="rId19" display="http://www.konkoly.hu/cgi-bin/IBVS?6063"/>
    <hyperlink ref="P30" r:id="rId20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2024-01-30T02:10:59Z</dcterms:modified>
</cp:coreProperties>
</file>