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4B68E38-78EE-49EF-A2B0-88DC9B1E755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BAV" sheetId="3" r:id="rId2"/>
  </sheets>
  <calcPr calcId="181029"/>
</workbook>
</file>

<file path=xl/calcChain.xml><?xml version="1.0" encoding="utf-8"?>
<calcChain xmlns="http://schemas.openxmlformats.org/spreadsheetml/2006/main">
  <c r="Q39" i="2" l="1"/>
  <c r="Q25" i="2"/>
  <c r="E22" i="2"/>
  <c r="F22" i="2"/>
  <c r="C21" i="2"/>
  <c r="E33" i="2"/>
  <c r="F33" i="2"/>
  <c r="D9" i="2"/>
  <c r="C9" i="2"/>
  <c r="Q23" i="2"/>
  <c r="Q22" i="2"/>
  <c r="G24" i="3"/>
  <c r="C24" i="3"/>
  <c r="G23" i="3"/>
  <c r="C23" i="3"/>
  <c r="G22" i="3"/>
  <c r="C22" i="3"/>
  <c r="G21" i="3"/>
  <c r="C21" i="3"/>
  <c r="G20" i="3"/>
  <c r="C20" i="3"/>
  <c r="E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27" i="3"/>
  <c r="C27" i="3"/>
  <c r="G12" i="3"/>
  <c r="C12" i="3"/>
  <c r="G26" i="3"/>
  <c r="C26" i="3"/>
  <c r="G25" i="3"/>
  <c r="C25" i="3"/>
  <c r="E25" i="3"/>
  <c r="G11" i="3"/>
  <c r="C11" i="3"/>
  <c r="H24" i="3"/>
  <c r="B24" i="3"/>
  <c r="D24" i="3"/>
  <c r="A24" i="3"/>
  <c r="H23" i="3"/>
  <c r="D23" i="3"/>
  <c r="B23" i="3"/>
  <c r="A23" i="3"/>
  <c r="H22" i="3"/>
  <c r="B22" i="3"/>
  <c r="D22" i="3"/>
  <c r="A22" i="3"/>
  <c r="H21" i="3"/>
  <c r="D21" i="3"/>
  <c r="B21" i="3"/>
  <c r="A21" i="3"/>
  <c r="H20" i="3"/>
  <c r="B20" i="3"/>
  <c r="D20" i="3"/>
  <c r="A20" i="3"/>
  <c r="H19" i="3"/>
  <c r="D19" i="3"/>
  <c r="B19" i="3"/>
  <c r="A19" i="3"/>
  <c r="H18" i="3"/>
  <c r="B18" i="3"/>
  <c r="D18" i="3"/>
  <c r="A18" i="3"/>
  <c r="H17" i="3"/>
  <c r="D17" i="3"/>
  <c r="B17" i="3"/>
  <c r="A17" i="3"/>
  <c r="H16" i="3"/>
  <c r="B16" i="3"/>
  <c r="D16" i="3"/>
  <c r="A16" i="3"/>
  <c r="H15" i="3"/>
  <c r="D15" i="3"/>
  <c r="B15" i="3"/>
  <c r="A15" i="3"/>
  <c r="H14" i="3"/>
  <c r="B14" i="3"/>
  <c r="D14" i="3"/>
  <c r="A14" i="3"/>
  <c r="H13" i="3"/>
  <c r="D13" i="3"/>
  <c r="B13" i="3"/>
  <c r="A13" i="3"/>
  <c r="H27" i="3"/>
  <c r="B27" i="3"/>
  <c r="D27" i="3"/>
  <c r="A27" i="3"/>
  <c r="H12" i="3"/>
  <c r="D12" i="3"/>
  <c r="B12" i="3"/>
  <c r="A12" i="3"/>
  <c r="H26" i="3"/>
  <c r="B26" i="3"/>
  <c r="D26" i="3"/>
  <c r="A26" i="3"/>
  <c r="H25" i="3"/>
  <c r="D25" i="3"/>
  <c r="B25" i="3"/>
  <c r="A25" i="3"/>
  <c r="H11" i="3"/>
  <c r="B11" i="3"/>
  <c r="D11" i="3"/>
  <c r="A11" i="3"/>
  <c r="Q38" i="2"/>
  <c r="Q30" i="2"/>
  <c r="Q32" i="2"/>
  <c r="Q36" i="2"/>
  <c r="C7" i="2"/>
  <c r="E39" i="2"/>
  <c r="F39" i="2"/>
  <c r="F16" i="2"/>
  <c r="F17" i="2" s="1"/>
  <c r="C17" i="2"/>
  <c r="Q21" i="2"/>
  <c r="Q24" i="2"/>
  <c r="Q26" i="2"/>
  <c r="Q27" i="2"/>
  <c r="Q28" i="2"/>
  <c r="Q29" i="2"/>
  <c r="Q31" i="2"/>
  <c r="Q33" i="2"/>
  <c r="Q34" i="2"/>
  <c r="Q35" i="2"/>
  <c r="Q37" i="2"/>
  <c r="E19" i="3"/>
  <c r="G33" i="2"/>
  <c r="J33" i="2"/>
  <c r="E26" i="2"/>
  <c r="F26" i="2"/>
  <c r="G22" i="2"/>
  <c r="I22" i="2"/>
  <c r="G28" i="2"/>
  <c r="K28" i="2"/>
  <c r="E21" i="2"/>
  <c r="F21" i="2"/>
  <c r="G21" i="2"/>
  <c r="H21" i="2"/>
  <c r="E25" i="2"/>
  <c r="F25" i="2"/>
  <c r="G25" i="2"/>
  <c r="K25" i="2"/>
  <c r="E32" i="2"/>
  <c r="F32" i="2"/>
  <c r="G32" i="2"/>
  <c r="K32" i="2"/>
  <c r="E28" i="2"/>
  <c r="F28" i="2"/>
  <c r="E35" i="2"/>
  <c r="F35" i="2"/>
  <c r="G35" i="2"/>
  <c r="K35" i="2"/>
  <c r="E31" i="2"/>
  <c r="F31" i="2"/>
  <c r="G31" i="2"/>
  <c r="K31" i="2"/>
  <c r="G36" i="2"/>
  <c r="J36" i="2"/>
  <c r="E27" i="2"/>
  <c r="F27" i="2"/>
  <c r="G27" i="2"/>
  <c r="K27" i="2"/>
  <c r="G23" i="2"/>
  <c r="I23" i="2"/>
  <c r="G34" i="2"/>
  <c r="K34" i="2"/>
  <c r="G39" i="2"/>
  <c r="K39" i="2"/>
  <c r="G26" i="2"/>
  <c r="J26" i="2"/>
  <c r="E36" i="2"/>
  <c r="F36" i="2"/>
  <c r="E23" i="2"/>
  <c r="F23" i="2"/>
  <c r="E24" i="2"/>
  <c r="F24" i="2"/>
  <c r="G24" i="2"/>
  <c r="E38" i="2"/>
  <c r="F38" i="2"/>
  <c r="G38" i="2"/>
  <c r="K38" i="2"/>
  <c r="E30" i="2"/>
  <c r="F30" i="2"/>
  <c r="G30" i="2"/>
  <c r="K30" i="2"/>
  <c r="E37" i="2"/>
  <c r="F37" i="2"/>
  <c r="G37" i="2"/>
  <c r="K37" i="2"/>
  <c r="E34" i="2"/>
  <c r="F34" i="2"/>
  <c r="E29" i="2"/>
  <c r="F29" i="2"/>
  <c r="G29" i="2"/>
  <c r="K29" i="2"/>
  <c r="I24" i="2"/>
  <c r="K24" i="2"/>
  <c r="E16" i="3"/>
  <c r="E18" i="3"/>
  <c r="E27" i="3"/>
  <c r="E12" i="3"/>
  <c r="E22" i="3"/>
  <c r="E17" i="3"/>
  <c r="E13" i="3"/>
  <c r="E24" i="3"/>
  <c r="E21" i="3"/>
  <c r="E26" i="3"/>
  <c r="E15" i="3"/>
  <c r="E14" i="3"/>
  <c r="E23" i="3"/>
  <c r="E11" i="3"/>
  <c r="C11" i="2"/>
  <c r="C12" i="2"/>
  <c r="C16" i="2" l="1"/>
  <c r="D18" i="2" s="1"/>
  <c r="C15" i="2"/>
  <c r="O28" i="2"/>
  <c r="O27" i="2"/>
  <c r="O38" i="2"/>
  <c r="O23" i="2"/>
  <c r="O29" i="2"/>
  <c r="O26" i="2"/>
  <c r="O37" i="2"/>
  <c r="O30" i="2"/>
  <c r="O34" i="2"/>
  <c r="O32" i="2"/>
  <c r="O35" i="2"/>
  <c r="O33" i="2"/>
  <c r="O31" i="2"/>
  <c r="O21" i="2"/>
  <c r="O36" i="2"/>
  <c r="O25" i="2"/>
  <c r="O22" i="2"/>
  <c r="O39" i="2"/>
  <c r="O24" i="2"/>
  <c r="C18" i="2" l="1"/>
  <c r="F18" i="2"/>
  <c r="F19" i="2" s="1"/>
</calcChain>
</file>

<file path=xl/sharedStrings.xml><?xml version="1.0" encoding="utf-8"?>
<sst xmlns="http://schemas.openxmlformats.org/spreadsheetml/2006/main" count="237" uniqueCount="152">
  <si>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</si>
  <si>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</si>
  <si>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</si>
  <si>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</si>
  <si>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</si>
  <si>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</si>
  <si>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</si>
  <si>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</si>
  <si>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</si>
  <si>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</si>
  <si>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</si>
  <si>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</si>
  <si>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</si>
  <si>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</si>
  <si>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</si>
  <si>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</si>
  <si>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</si>
  <si>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</si>
  <si>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</si>
  <si>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</si>
  <si>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</si>
  <si>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</si>
  <si>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</si>
  <si>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</si>
  <si>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</si>
  <si>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</si>
  <si>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</si>
  <si>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</si>
  <si>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</si>
  <si>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 5690</t>
  </si>
  <si>
    <t>I</t>
  </si>
  <si>
    <t>CM Com / GSC 01447-01001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</si>
  <si>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</si>
  <si>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</si>
  <si>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</si>
  <si>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</si>
  <si>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</si>
  <si>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</si>
  <si>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IBVS 5802</t>
  </si>
  <si>
    <t>e</t>
  </si>
  <si>
    <t>Start of linear fit &gt;&gt;&gt;&gt;&gt;&gt;&gt;&gt;&gt;&gt;&gt;&gt;&gt;&gt;&gt;&gt;&gt;&gt;&gt;&gt;&gt;</t>
  </si>
  <si>
    <t>OEJV 0107</t>
  </si>
  <si>
    <t>IBVS 5945</t>
  </si>
  <si>
    <t>Add cycle</t>
  </si>
  <si>
    <t>Old Cycle</t>
  </si>
  <si>
    <t>IBVS 5894</t>
  </si>
  <si>
    <t>II</t>
  </si>
  <si>
    <t>IBVS 5992</t>
  </si>
  <si>
    <t>IBVS 6010</t>
  </si>
  <si>
    <t>IBVS 6029</t>
  </si>
  <si>
    <t>OEJV 0160</t>
  </si>
  <si>
    <t>IBVS 6048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</si>
  <si>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</si>
  <si>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</si>
  <si>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</si>
  <si>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</si>
  <si>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</si>
  <si>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</si>
  <si>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</si>
  <si>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</si>
  <si>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</si>
  <si>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</si>
  <si>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</si>
  <si>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2437781.360 </t>
  </si>
  <si>
    <t> 26.04.1962 20:38 </t>
  </si>
  <si>
    <t> 0.000 </t>
  </si>
  <si>
    <t>P </t>
  </si>
  <si>
    <t> Wenzel &amp; Ziegler </t>
  </si>
  <si>
    <t> VSS 7.457 </t>
  </si>
  <si>
    <t>2438173.409 </t>
  </si>
  <si>
    <t> 23.05.1963 21:48 </t>
  </si>
  <si>
    <t> -0.001 </t>
  </si>
  <si>
    <t>2438439.567 </t>
  </si>
  <si>
    <t> 14.02.1964 01:36 </t>
  </si>
  <si>
    <t> -0.005 </t>
  </si>
  <si>
    <t>2453430.8923 </t>
  </si>
  <si>
    <t> 01.03.2005 09:24 </t>
  </si>
  <si>
    <t> -0.0792 </t>
  </si>
  <si>
    <t>E </t>
  </si>
  <si>
    <t>?</t>
  </si>
  <si>
    <t> T. Krajci </t>
  </si>
  <si>
    <t>IBVS 5690 </t>
  </si>
  <si>
    <t>2453474.1456 </t>
  </si>
  <si>
    <t> 13.04.2005 15:29 </t>
  </si>
  <si>
    <t> 0.0126 </t>
  </si>
  <si>
    <t> Nakajima </t>
  </si>
  <si>
    <t>VSB 44 </t>
  </si>
  <si>
    <t>2454175.6082 </t>
  </si>
  <si>
    <t> 16.03.2007 02:35 </t>
  </si>
  <si>
    <t> 0.1022 </t>
  </si>
  <si>
    <t>C </t>
  </si>
  <si>
    <t>-I</t>
  </si>
  <si>
    <t> F.Agerer </t>
  </si>
  <si>
    <t>BAVM 186 </t>
  </si>
  <si>
    <t>2454874.845 </t>
  </si>
  <si>
    <t> 12.02.2009 08:16 </t>
  </si>
  <si>
    <t>4752.5</t>
  </si>
  <si>
    <t> -0.236 </t>
  </si>
  <si>
    <t> R.Diethelm </t>
  </si>
  <si>
    <t>IBVS 5894 </t>
  </si>
  <si>
    <t>2454925.5876 </t>
  </si>
  <si>
    <t> 04.04.2009 02:06 </t>
  </si>
  <si>
    <t>4766.5</t>
  </si>
  <si>
    <t> 0.1519 </t>
  </si>
  <si>
    <t> J.Trnka </t>
  </si>
  <si>
    <t>OEJV 0107 </t>
  </si>
  <si>
    <t>2455329.8255 </t>
  </si>
  <si>
    <t> 13.05.2010 07:48 </t>
  </si>
  <si>
    <t>4879</t>
  </si>
  <si>
    <t> -0.2485 </t>
  </si>
  <si>
    <t>IBVS 5945 </t>
  </si>
  <si>
    <t>2455600.42405 </t>
  </si>
  <si>
    <t> 07.02.2011 22:10 </t>
  </si>
  <si>
    <t>4954</t>
  </si>
  <si>
    <t> 0.59116 </t>
  </si>
  <si>
    <t> V.P?ibik </t>
  </si>
  <si>
    <t>OEJV 0160 </t>
  </si>
  <si>
    <t>2455609.8467 </t>
  </si>
  <si>
    <t> 17.02.2011 08:19 </t>
  </si>
  <si>
    <t>4957</t>
  </si>
  <si>
    <t> -0.7765 </t>
  </si>
  <si>
    <t>IBVS 5992 </t>
  </si>
  <si>
    <t>2455620.38691 </t>
  </si>
  <si>
    <t> 27.02.2011 21:17 </t>
  </si>
  <si>
    <t>4960</t>
  </si>
  <si>
    <t> -1.02669 </t>
  </si>
  <si>
    <t>2455675.5613 </t>
  </si>
  <si>
    <t> 24.04.2011 01:28 </t>
  </si>
  <si>
    <t>4975.5</t>
  </si>
  <si>
    <t> -1.6025 </t>
  </si>
  <si>
    <t>BAVM 220 </t>
  </si>
  <si>
    <t>2455679.7172 </t>
  </si>
  <si>
    <t> 28.04.2011 05:12 </t>
  </si>
  <si>
    <t>4976.5</t>
  </si>
  <si>
    <t> -1.0434 </t>
  </si>
  <si>
    <t>2455981.9302 </t>
  </si>
  <si>
    <t> 24.02.2012 10:19 </t>
  </si>
  <si>
    <t>5060.5</t>
  </si>
  <si>
    <t> -0.9603 </t>
  </si>
  <si>
    <t>IBVS 6029 </t>
  </si>
  <si>
    <t>2456014.3643 </t>
  </si>
  <si>
    <t> 27.03.2012 20:44 </t>
  </si>
  <si>
    <t>5069.5</t>
  </si>
  <si>
    <t> -0.8973 </t>
  </si>
  <si>
    <t>o</t>
  </si>
  <si>
    <t> W.Moschner &amp; P.Frank </t>
  </si>
  <si>
    <t>BAVM 228 </t>
  </si>
  <si>
    <t>2456045.6964 </t>
  </si>
  <si>
    <t> 28.04.2012 04:42 </t>
  </si>
  <si>
    <t>5078</t>
  </si>
  <si>
    <t> -0.1378 </t>
  </si>
  <si>
    <t>IBVS 6195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</si>
</sst>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trike/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6" fillId="0" borderId="0" xfId="0" applyFont="1" applyAlignment="1"/>
    <xf numFmtId="0" fontId="6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10" xfId="0" applyBorder="1">
      <alignment vertical="top"/>
    </xf>
    <xf numFmtId="0" fontId="5" fillId="0" borderId="0" xfId="0" applyFont="1" applyAlignment="1">
      <alignment horizontal="lef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10" xfId="0" applyFont="1" applyBorder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/>
    <xf numFmtId="0" fontId="5" fillId="0" borderId="0" xfId="0" applyFont="1" applyAlignment="1"/>
    <xf numFmtId="0" fontId="34" fillId="0" borderId="0" xfId="42" applyFont="1" applyAlignment="1">
      <alignment horizontal="left"/>
    </xf>
    <xf numFmtId="0" fontId="34" fillId="0" borderId="0" xfId="42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CM Com - O-C Diagr.</a:t>
            </a:r>
          </a:p>
        </c:rich>
      </c:tx>
      <c:layout>
        <c:manualLayout>
          <c:xMode val="edge"/>
          <c:yMode val="edge"/>
          <c:x val="0.3699518739479051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39591436849567"/>
          <c:y val="0.14678942920199375"/>
          <c:w val="0.80452405950567596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707</c:v>
                </c:pt>
                <c:pt idx="2">
                  <c:v>1187</c:v>
                </c:pt>
                <c:pt idx="3">
                  <c:v>28222</c:v>
                </c:pt>
                <c:pt idx="4">
                  <c:v>28300</c:v>
                </c:pt>
                <c:pt idx="5">
                  <c:v>29565</c:v>
                </c:pt>
                <c:pt idx="6">
                  <c:v>30826</c:v>
                </c:pt>
                <c:pt idx="7">
                  <c:v>30917.5</c:v>
                </c:pt>
                <c:pt idx="8">
                  <c:v>31646.5</c:v>
                </c:pt>
                <c:pt idx="9">
                  <c:v>32134.5</c:v>
                </c:pt>
                <c:pt idx="10">
                  <c:v>32151.5</c:v>
                </c:pt>
                <c:pt idx="11">
                  <c:v>32170.5</c:v>
                </c:pt>
                <c:pt idx="12">
                  <c:v>32270</c:v>
                </c:pt>
                <c:pt idx="13">
                  <c:v>32277.5</c:v>
                </c:pt>
                <c:pt idx="14">
                  <c:v>32822.5</c:v>
                </c:pt>
                <c:pt idx="15">
                  <c:v>32881</c:v>
                </c:pt>
                <c:pt idx="16">
                  <c:v>32937.5</c:v>
                </c:pt>
                <c:pt idx="17">
                  <c:v>35520</c:v>
                </c:pt>
                <c:pt idx="18">
                  <c:v>36196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75-4BD5-94D0-98A79BA73FA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0</c:v>
                  </c:pt>
                  <c:pt idx="5">
                    <c:v>5.1999999999999998E-3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0.01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1.6999999999999999E-3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8.9999999999999998E-4</c:v>
                  </c:pt>
                  <c:pt idx="17">
                    <c:v>2.9999999999999997E-4</c:v>
                  </c:pt>
                  <c:pt idx="18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0</c:v>
                  </c:pt>
                  <c:pt idx="5">
                    <c:v>5.1999999999999998E-3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0.01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1.6999999999999999E-3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8.9999999999999998E-4</c:v>
                  </c:pt>
                  <c:pt idx="17">
                    <c:v>2.9999999999999997E-4</c:v>
                  </c:pt>
                  <c:pt idx="18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707</c:v>
                </c:pt>
                <c:pt idx="2">
                  <c:v>1187</c:v>
                </c:pt>
                <c:pt idx="3">
                  <c:v>28222</c:v>
                </c:pt>
                <c:pt idx="4">
                  <c:v>28300</c:v>
                </c:pt>
                <c:pt idx="5">
                  <c:v>29565</c:v>
                </c:pt>
                <c:pt idx="6">
                  <c:v>30826</c:v>
                </c:pt>
                <c:pt idx="7">
                  <c:v>30917.5</c:v>
                </c:pt>
                <c:pt idx="8">
                  <c:v>31646.5</c:v>
                </c:pt>
                <c:pt idx="9">
                  <c:v>32134.5</c:v>
                </c:pt>
                <c:pt idx="10">
                  <c:v>32151.5</c:v>
                </c:pt>
                <c:pt idx="11">
                  <c:v>32170.5</c:v>
                </c:pt>
                <c:pt idx="12">
                  <c:v>32270</c:v>
                </c:pt>
                <c:pt idx="13">
                  <c:v>32277.5</c:v>
                </c:pt>
                <c:pt idx="14">
                  <c:v>32822.5</c:v>
                </c:pt>
                <c:pt idx="15">
                  <c:v>32881</c:v>
                </c:pt>
                <c:pt idx="16">
                  <c:v>32937.5</c:v>
                </c:pt>
                <c:pt idx="17">
                  <c:v>35520</c:v>
                </c:pt>
                <c:pt idx="18">
                  <c:v>36196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9.015999996336177E-3</c:v>
                </c:pt>
                <c:pt idx="2">
                  <c:v>1.2560000031953678E-3</c:v>
                </c:pt>
                <c:pt idx="3">
                  <c:v>9.4636000001628418E-2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75-4BD5-94D0-98A79BA73FA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0</c:v>
                  </c:pt>
                  <c:pt idx="5">
                    <c:v>5.1999999999999998E-3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0.01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1.6999999999999999E-3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8.9999999999999998E-4</c:v>
                  </c:pt>
                  <c:pt idx="17">
                    <c:v>2.9999999999999997E-4</c:v>
                  </c:pt>
                  <c:pt idx="18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0</c:v>
                  </c:pt>
                  <c:pt idx="5">
                    <c:v>5.1999999999999998E-3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0.01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1.6999999999999999E-3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8.9999999999999998E-4</c:v>
                  </c:pt>
                  <c:pt idx="17">
                    <c:v>2.9999999999999997E-4</c:v>
                  </c:pt>
                  <c:pt idx="18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707</c:v>
                </c:pt>
                <c:pt idx="2">
                  <c:v>1187</c:v>
                </c:pt>
                <c:pt idx="3">
                  <c:v>28222</c:v>
                </c:pt>
                <c:pt idx="4">
                  <c:v>28300</c:v>
                </c:pt>
                <c:pt idx="5">
                  <c:v>29565</c:v>
                </c:pt>
                <c:pt idx="6">
                  <c:v>30826</c:v>
                </c:pt>
                <c:pt idx="7">
                  <c:v>30917.5</c:v>
                </c:pt>
                <c:pt idx="8">
                  <c:v>31646.5</c:v>
                </c:pt>
                <c:pt idx="9">
                  <c:v>32134.5</c:v>
                </c:pt>
                <c:pt idx="10">
                  <c:v>32151.5</c:v>
                </c:pt>
                <c:pt idx="11">
                  <c:v>32170.5</c:v>
                </c:pt>
                <c:pt idx="12">
                  <c:v>32270</c:v>
                </c:pt>
                <c:pt idx="13">
                  <c:v>32277.5</c:v>
                </c:pt>
                <c:pt idx="14">
                  <c:v>32822.5</c:v>
                </c:pt>
                <c:pt idx="15">
                  <c:v>32881</c:v>
                </c:pt>
                <c:pt idx="16">
                  <c:v>32937.5</c:v>
                </c:pt>
                <c:pt idx="17">
                  <c:v>35520</c:v>
                </c:pt>
                <c:pt idx="18">
                  <c:v>36196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">
                  <c:v>0.10091999999713153</c:v>
                </c:pt>
                <c:pt idx="12">
                  <c:v>9.9060000000463333E-2</c:v>
                </c:pt>
                <c:pt idx="15">
                  <c:v>9.5228000005590729E-2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75-4BD5-94D0-98A79BA73FA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0</c:v>
                  </c:pt>
                  <c:pt idx="5">
                    <c:v>5.1999999999999998E-3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0.01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1.6999999999999999E-3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8.9999999999999998E-4</c:v>
                  </c:pt>
                  <c:pt idx="17">
                    <c:v>2.9999999999999997E-4</c:v>
                  </c:pt>
                  <c:pt idx="18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0</c:v>
                  </c:pt>
                  <c:pt idx="5">
                    <c:v>5.1999999999999998E-3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0.01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1.6999999999999999E-3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8.9999999999999998E-4</c:v>
                  </c:pt>
                  <c:pt idx="17">
                    <c:v>2.9999999999999997E-4</c:v>
                  </c:pt>
                  <c:pt idx="18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707</c:v>
                </c:pt>
                <c:pt idx="2">
                  <c:v>1187</c:v>
                </c:pt>
                <c:pt idx="3">
                  <c:v>28222</c:v>
                </c:pt>
                <c:pt idx="4">
                  <c:v>28300</c:v>
                </c:pt>
                <c:pt idx="5">
                  <c:v>29565</c:v>
                </c:pt>
                <c:pt idx="6">
                  <c:v>30826</c:v>
                </c:pt>
                <c:pt idx="7">
                  <c:v>30917.5</c:v>
                </c:pt>
                <c:pt idx="8">
                  <c:v>31646.5</c:v>
                </c:pt>
                <c:pt idx="9">
                  <c:v>32134.5</c:v>
                </c:pt>
                <c:pt idx="10">
                  <c:v>32151.5</c:v>
                </c:pt>
                <c:pt idx="11">
                  <c:v>32170.5</c:v>
                </c:pt>
                <c:pt idx="12">
                  <c:v>32270</c:v>
                </c:pt>
                <c:pt idx="13">
                  <c:v>32277.5</c:v>
                </c:pt>
                <c:pt idx="14">
                  <c:v>32822.5</c:v>
                </c:pt>
                <c:pt idx="15">
                  <c:v>32881</c:v>
                </c:pt>
                <c:pt idx="16">
                  <c:v>32937.5</c:v>
                </c:pt>
                <c:pt idx="17">
                  <c:v>35520</c:v>
                </c:pt>
                <c:pt idx="18">
                  <c:v>36196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9.4636000001628418E-2</c:v>
                </c:pt>
                <c:pt idx="4">
                  <c:v>9.6000000005005859E-2</c:v>
                </c:pt>
                <c:pt idx="6">
                  <c:v>9.8087999998824671E-2</c:v>
                </c:pt>
                <c:pt idx="7">
                  <c:v>0.10283999999955995</c:v>
                </c:pt>
                <c:pt idx="8">
                  <c:v>0.10149199999432312</c:v>
                </c:pt>
                <c:pt idx="9">
                  <c:v>9.8186000002897345E-2</c:v>
                </c:pt>
                <c:pt idx="10">
                  <c:v>9.4132000005629379E-2</c:v>
                </c:pt>
                <c:pt idx="11">
                  <c:v>9.8614000002271496E-2</c:v>
                </c:pt>
                <c:pt idx="13">
                  <c:v>9.6120000001974404E-2</c:v>
                </c:pt>
                <c:pt idx="14">
                  <c:v>0.1000800000037998</c:v>
                </c:pt>
                <c:pt idx="16">
                  <c:v>9.7399999998742715E-2</c:v>
                </c:pt>
                <c:pt idx="17">
                  <c:v>9.5760000003792811E-2</c:v>
                </c:pt>
                <c:pt idx="18">
                  <c:v>9.9048000003676862E-2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75-4BD5-94D0-98A79BA73FA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0</c:v>
                  </c:pt>
                  <c:pt idx="5">
                    <c:v>5.1999999999999998E-3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0.01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1.6999999999999999E-3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8.9999999999999998E-4</c:v>
                  </c:pt>
                  <c:pt idx="17">
                    <c:v>2.9999999999999997E-4</c:v>
                  </c:pt>
                  <c:pt idx="18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0</c:v>
                  </c:pt>
                  <c:pt idx="5">
                    <c:v>5.1999999999999998E-3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0.01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1.6999999999999999E-3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8.9999999999999998E-4</c:v>
                  </c:pt>
                  <c:pt idx="17">
                    <c:v>2.9999999999999997E-4</c:v>
                  </c:pt>
                  <c:pt idx="18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707</c:v>
                </c:pt>
                <c:pt idx="2">
                  <c:v>1187</c:v>
                </c:pt>
                <c:pt idx="3">
                  <c:v>28222</c:v>
                </c:pt>
                <c:pt idx="4">
                  <c:v>28300</c:v>
                </c:pt>
                <c:pt idx="5">
                  <c:v>29565</c:v>
                </c:pt>
                <c:pt idx="6">
                  <c:v>30826</c:v>
                </c:pt>
                <c:pt idx="7">
                  <c:v>30917.5</c:v>
                </c:pt>
                <c:pt idx="8">
                  <c:v>31646.5</c:v>
                </c:pt>
                <c:pt idx="9">
                  <c:v>32134.5</c:v>
                </c:pt>
                <c:pt idx="10">
                  <c:v>32151.5</c:v>
                </c:pt>
                <c:pt idx="11">
                  <c:v>32170.5</c:v>
                </c:pt>
                <c:pt idx="12">
                  <c:v>32270</c:v>
                </c:pt>
                <c:pt idx="13">
                  <c:v>32277.5</c:v>
                </c:pt>
                <c:pt idx="14">
                  <c:v>32822.5</c:v>
                </c:pt>
                <c:pt idx="15">
                  <c:v>32881</c:v>
                </c:pt>
                <c:pt idx="16">
                  <c:v>32937.5</c:v>
                </c:pt>
                <c:pt idx="17">
                  <c:v>35520</c:v>
                </c:pt>
                <c:pt idx="18">
                  <c:v>36196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75-4BD5-94D0-98A79BA73FA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0</c:v>
                  </c:pt>
                  <c:pt idx="5">
                    <c:v>5.1999999999999998E-3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0.01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1.6999999999999999E-3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8.9999999999999998E-4</c:v>
                  </c:pt>
                  <c:pt idx="17">
                    <c:v>2.9999999999999997E-4</c:v>
                  </c:pt>
                  <c:pt idx="18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0</c:v>
                  </c:pt>
                  <c:pt idx="5">
                    <c:v>5.1999999999999998E-3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0.01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1.6999999999999999E-3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8.9999999999999998E-4</c:v>
                  </c:pt>
                  <c:pt idx="17">
                    <c:v>2.9999999999999997E-4</c:v>
                  </c:pt>
                  <c:pt idx="18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707</c:v>
                </c:pt>
                <c:pt idx="2">
                  <c:v>1187</c:v>
                </c:pt>
                <c:pt idx="3">
                  <c:v>28222</c:v>
                </c:pt>
                <c:pt idx="4">
                  <c:v>28300</c:v>
                </c:pt>
                <c:pt idx="5">
                  <c:v>29565</c:v>
                </c:pt>
                <c:pt idx="6">
                  <c:v>30826</c:v>
                </c:pt>
                <c:pt idx="7">
                  <c:v>30917.5</c:v>
                </c:pt>
                <c:pt idx="8">
                  <c:v>31646.5</c:v>
                </c:pt>
                <c:pt idx="9">
                  <c:v>32134.5</c:v>
                </c:pt>
                <c:pt idx="10">
                  <c:v>32151.5</c:v>
                </c:pt>
                <c:pt idx="11">
                  <c:v>32170.5</c:v>
                </c:pt>
                <c:pt idx="12">
                  <c:v>32270</c:v>
                </c:pt>
                <c:pt idx="13">
                  <c:v>32277.5</c:v>
                </c:pt>
                <c:pt idx="14">
                  <c:v>32822.5</c:v>
                </c:pt>
                <c:pt idx="15">
                  <c:v>32881</c:v>
                </c:pt>
                <c:pt idx="16">
                  <c:v>32937.5</c:v>
                </c:pt>
                <c:pt idx="17">
                  <c:v>35520</c:v>
                </c:pt>
                <c:pt idx="18">
                  <c:v>36196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75-4BD5-94D0-98A79BA73FA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0</c:v>
                  </c:pt>
                  <c:pt idx="5">
                    <c:v>5.1999999999999998E-3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0.01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1.6999999999999999E-3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8.9999999999999998E-4</c:v>
                  </c:pt>
                  <c:pt idx="17">
                    <c:v>2.9999999999999997E-4</c:v>
                  </c:pt>
                  <c:pt idx="18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0</c:v>
                  </c:pt>
                  <c:pt idx="5">
                    <c:v>5.1999999999999998E-3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0.01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1.6999999999999999E-3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8.9999999999999998E-4</c:v>
                  </c:pt>
                  <c:pt idx="17">
                    <c:v>2.9999999999999997E-4</c:v>
                  </c:pt>
                  <c:pt idx="18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707</c:v>
                </c:pt>
                <c:pt idx="2">
                  <c:v>1187</c:v>
                </c:pt>
                <c:pt idx="3">
                  <c:v>28222</c:v>
                </c:pt>
                <c:pt idx="4">
                  <c:v>28300</c:v>
                </c:pt>
                <c:pt idx="5">
                  <c:v>29565</c:v>
                </c:pt>
                <c:pt idx="6">
                  <c:v>30826</c:v>
                </c:pt>
                <c:pt idx="7">
                  <c:v>30917.5</c:v>
                </c:pt>
                <c:pt idx="8">
                  <c:v>31646.5</c:v>
                </c:pt>
                <c:pt idx="9">
                  <c:v>32134.5</c:v>
                </c:pt>
                <c:pt idx="10">
                  <c:v>32151.5</c:v>
                </c:pt>
                <c:pt idx="11">
                  <c:v>32170.5</c:v>
                </c:pt>
                <c:pt idx="12">
                  <c:v>32270</c:v>
                </c:pt>
                <c:pt idx="13">
                  <c:v>32277.5</c:v>
                </c:pt>
                <c:pt idx="14">
                  <c:v>32822.5</c:v>
                </c:pt>
                <c:pt idx="15">
                  <c:v>32881</c:v>
                </c:pt>
                <c:pt idx="16">
                  <c:v>32937.5</c:v>
                </c:pt>
                <c:pt idx="17">
                  <c:v>35520</c:v>
                </c:pt>
                <c:pt idx="18">
                  <c:v>36196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75-4BD5-94D0-98A79BA73FA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707</c:v>
                </c:pt>
                <c:pt idx="2">
                  <c:v>1187</c:v>
                </c:pt>
                <c:pt idx="3">
                  <c:v>28222</c:v>
                </c:pt>
                <c:pt idx="4">
                  <c:v>28300</c:v>
                </c:pt>
                <c:pt idx="5">
                  <c:v>29565</c:v>
                </c:pt>
                <c:pt idx="6">
                  <c:v>30826</c:v>
                </c:pt>
                <c:pt idx="7">
                  <c:v>30917.5</c:v>
                </c:pt>
                <c:pt idx="8">
                  <c:v>31646.5</c:v>
                </c:pt>
                <c:pt idx="9">
                  <c:v>32134.5</c:v>
                </c:pt>
                <c:pt idx="10">
                  <c:v>32151.5</c:v>
                </c:pt>
                <c:pt idx="11">
                  <c:v>32170.5</c:v>
                </c:pt>
                <c:pt idx="12">
                  <c:v>32270</c:v>
                </c:pt>
                <c:pt idx="13">
                  <c:v>32277.5</c:v>
                </c:pt>
                <c:pt idx="14">
                  <c:v>32822.5</c:v>
                </c:pt>
                <c:pt idx="15">
                  <c:v>32881</c:v>
                </c:pt>
                <c:pt idx="16">
                  <c:v>32937.5</c:v>
                </c:pt>
                <c:pt idx="17">
                  <c:v>35520</c:v>
                </c:pt>
                <c:pt idx="18">
                  <c:v>36196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9.7549664718414697E-2</c:v>
                </c:pt>
                <c:pt idx="1">
                  <c:v>9.7559088881697745E-2</c:v>
                </c:pt>
                <c:pt idx="2">
                  <c:v>9.7565487182087948E-2</c:v>
                </c:pt>
                <c:pt idx="3">
                  <c:v>9.7925858121773054E-2</c:v>
                </c:pt>
                <c:pt idx="4">
                  <c:v>9.7926897845586461E-2</c:v>
                </c:pt>
                <c:pt idx="5">
                  <c:v>9.7943760033073105E-2</c:v>
                </c:pt>
                <c:pt idx="6">
                  <c:v>9.796056890138985E-2</c:v>
                </c:pt>
                <c:pt idx="7">
                  <c:v>9.7961788577401718E-2</c:v>
                </c:pt>
                <c:pt idx="8">
                  <c:v>9.7971505996119326E-2</c:v>
                </c:pt>
                <c:pt idx="9">
                  <c:v>9.7978010934849355E-2</c:v>
                </c:pt>
                <c:pt idx="10">
                  <c:v>9.7978237541321511E-2</c:v>
                </c:pt>
                <c:pt idx="11">
                  <c:v>9.7978490807378624E-2</c:v>
                </c:pt>
                <c:pt idx="12">
                  <c:v>9.7979817121730345E-2</c:v>
                </c:pt>
                <c:pt idx="13">
                  <c:v>9.7979917095173938E-2</c:v>
                </c:pt>
                <c:pt idx="14">
                  <c:v>9.7987181832075304E-2</c:v>
                </c:pt>
                <c:pt idx="15">
                  <c:v>9.7987961624935352E-2</c:v>
                </c:pt>
                <c:pt idx="16">
                  <c:v>9.7988714758210443E-2</c:v>
                </c:pt>
                <c:pt idx="17">
                  <c:v>9.8023138947288938E-2</c:v>
                </c:pt>
                <c:pt idx="18">
                  <c:v>9.8032149887005121E-2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75-4BD5-94D0-98A79BA73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4132168"/>
        <c:axId val="1"/>
      </c:scatterChart>
      <c:valAx>
        <c:axId val="704132168"/>
        <c:scaling>
          <c:orientation val="minMax"/>
          <c:min val="2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96284329563816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4132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47836023728051"/>
          <c:y val="0.9204921861831491"/>
          <c:w val="0.6752832228766234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CM Com - O-C Diagr.</a:t>
            </a:r>
          </a:p>
        </c:rich>
      </c:tx>
      <c:layout>
        <c:manualLayout>
          <c:xMode val="edge"/>
          <c:yMode val="edge"/>
          <c:x val="0.36935483870967745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8387096774195"/>
          <c:y val="0.14634168126798494"/>
          <c:w val="0.8145161290322581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707</c:v>
                </c:pt>
                <c:pt idx="2">
                  <c:v>1187</c:v>
                </c:pt>
                <c:pt idx="3">
                  <c:v>28222</c:v>
                </c:pt>
                <c:pt idx="4">
                  <c:v>28300</c:v>
                </c:pt>
                <c:pt idx="5">
                  <c:v>29565</c:v>
                </c:pt>
                <c:pt idx="6">
                  <c:v>30826</c:v>
                </c:pt>
                <c:pt idx="7">
                  <c:v>30917.5</c:v>
                </c:pt>
                <c:pt idx="8">
                  <c:v>31646.5</c:v>
                </c:pt>
                <c:pt idx="9">
                  <c:v>32134.5</c:v>
                </c:pt>
                <c:pt idx="10">
                  <c:v>32151.5</c:v>
                </c:pt>
                <c:pt idx="11">
                  <c:v>32170.5</c:v>
                </c:pt>
                <c:pt idx="12">
                  <c:v>32270</c:v>
                </c:pt>
                <c:pt idx="13">
                  <c:v>32277.5</c:v>
                </c:pt>
                <c:pt idx="14">
                  <c:v>32822.5</c:v>
                </c:pt>
                <c:pt idx="15">
                  <c:v>32881</c:v>
                </c:pt>
                <c:pt idx="16">
                  <c:v>32937.5</c:v>
                </c:pt>
                <c:pt idx="17">
                  <c:v>35520</c:v>
                </c:pt>
                <c:pt idx="18">
                  <c:v>36196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E8-431B-8708-C92F432016C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0</c:v>
                  </c:pt>
                  <c:pt idx="5">
                    <c:v>5.1999999999999998E-3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0.01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1.6999999999999999E-3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8.9999999999999998E-4</c:v>
                  </c:pt>
                  <c:pt idx="17">
                    <c:v>2.9999999999999997E-4</c:v>
                  </c:pt>
                  <c:pt idx="18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0</c:v>
                  </c:pt>
                  <c:pt idx="5">
                    <c:v>5.1999999999999998E-3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0.01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1.6999999999999999E-3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8.9999999999999998E-4</c:v>
                  </c:pt>
                  <c:pt idx="17">
                    <c:v>2.9999999999999997E-4</c:v>
                  </c:pt>
                  <c:pt idx="18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707</c:v>
                </c:pt>
                <c:pt idx="2">
                  <c:v>1187</c:v>
                </c:pt>
                <c:pt idx="3">
                  <c:v>28222</c:v>
                </c:pt>
                <c:pt idx="4">
                  <c:v>28300</c:v>
                </c:pt>
                <c:pt idx="5">
                  <c:v>29565</c:v>
                </c:pt>
                <c:pt idx="6">
                  <c:v>30826</c:v>
                </c:pt>
                <c:pt idx="7">
                  <c:v>30917.5</c:v>
                </c:pt>
                <c:pt idx="8">
                  <c:v>31646.5</c:v>
                </c:pt>
                <c:pt idx="9">
                  <c:v>32134.5</c:v>
                </c:pt>
                <c:pt idx="10">
                  <c:v>32151.5</c:v>
                </c:pt>
                <c:pt idx="11">
                  <c:v>32170.5</c:v>
                </c:pt>
                <c:pt idx="12">
                  <c:v>32270</c:v>
                </c:pt>
                <c:pt idx="13">
                  <c:v>32277.5</c:v>
                </c:pt>
                <c:pt idx="14">
                  <c:v>32822.5</c:v>
                </c:pt>
                <c:pt idx="15">
                  <c:v>32881</c:v>
                </c:pt>
                <c:pt idx="16">
                  <c:v>32937.5</c:v>
                </c:pt>
                <c:pt idx="17">
                  <c:v>35520</c:v>
                </c:pt>
                <c:pt idx="18">
                  <c:v>36196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9.015999996336177E-3</c:v>
                </c:pt>
                <c:pt idx="2">
                  <c:v>1.2560000031953678E-3</c:v>
                </c:pt>
                <c:pt idx="3">
                  <c:v>9.4636000001628418E-2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E8-431B-8708-C92F432016C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0</c:v>
                  </c:pt>
                  <c:pt idx="5">
                    <c:v>5.1999999999999998E-3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0.01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1.6999999999999999E-3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8.9999999999999998E-4</c:v>
                  </c:pt>
                  <c:pt idx="17">
                    <c:v>2.9999999999999997E-4</c:v>
                  </c:pt>
                  <c:pt idx="18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0</c:v>
                  </c:pt>
                  <c:pt idx="5">
                    <c:v>5.1999999999999998E-3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0.01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1.6999999999999999E-3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8.9999999999999998E-4</c:v>
                  </c:pt>
                  <c:pt idx="17">
                    <c:v>2.9999999999999997E-4</c:v>
                  </c:pt>
                  <c:pt idx="18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707</c:v>
                </c:pt>
                <c:pt idx="2">
                  <c:v>1187</c:v>
                </c:pt>
                <c:pt idx="3">
                  <c:v>28222</c:v>
                </c:pt>
                <c:pt idx="4">
                  <c:v>28300</c:v>
                </c:pt>
                <c:pt idx="5">
                  <c:v>29565</c:v>
                </c:pt>
                <c:pt idx="6">
                  <c:v>30826</c:v>
                </c:pt>
                <c:pt idx="7">
                  <c:v>30917.5</c:v>
                </c:pt>
                <c:pt idx="8">
                  <c:v>31646.5</c:v>
                </c:pt>
                <c:pt idx="9">
                  <c:v>32134.5</c:v>
                </c:pt>
                <c:pt idx="10">
                  <c:v>32151.5</c:v>
                </c:pt>
                <c:pt idx="11">
                  <c:v>32170.5</c:v>
                </c:pt>
                <c:pt idx="12">
                  <c:v>32270</c:v>
                </c:pt>
                <c:pt idx="13">
                  <c:v>32277.5</c:v>
                </c:pt>
                <c:pt idx="14">
                  <c:v>32822.5</c:v>
                </c:pt>
                <c:pt idx="15">
                  <c:v>32881</c:v>
                </c:pt>
                <c:pt idx="16">
                  <c:v>32937.5</c:v>
                </c:pt>
                <c:pt idx="17">
                  <c:v>35520</c:v>
                </c:pt>
                <c:pt idx="18">
                  <c:v>36196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">
                  <c:v>0.10091999999713153</c:v>
                </c:pt>
                <c:pt idx="12">
                  <c:v>9.9060000000463333E-2</c:v>
                </c:pt>
                <c:pt idx="15">
                  <c:v>9.5228000005590729E-2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E8-431B-8708-C92F432016C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0</c:v>
                  </c:pt>
                  <c:pt idx="5">
                    <c:v>5.1999999999999998E-3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0.01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1.6999999999999999E-3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8.9999999999999998E-4</c:v>
                  </c:pt>
                  <c:pt idx="17">
                    <c:v>2.9999999999999997E-4</c:v>
                  </c:pt>
                  <c:pt idx="18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0</c:v>
                  </c:pt>
                  <c:pt idx="5">
                    <c:v>5.1999999999999998E-3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0.01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1.6999999999999999E-3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8.9999999999999998E-4</c:v>
                  </c:pt>
                  <c:pt idx="17">
                    <c:v>2.9999999999999997E-4</c:v>
                  </c:pt>
                  <c:pt idx="18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707</c:v>
                </c:pt>
                <c:pt idx="2">
                  <c:v>1187</c:v>
                </c:pt>
                <c:pt idx="3">
                  <c:v>28222</c:v>
                </c:pt>
                <c:pt idx="4">
                  <c:v>28300</c:v>
                </c:pt>
                <c:pt idx="5">
                  <c:v>29565</c:v>
                </c:pt>
                <c:pt idx="6">
                  <c:v>30826</c:v>
                </c:pt>
                <c:pt idx="7">
                  <c:v>30917.5</c:v>
                </c:pt>
                <c:pt idx="8">
                  <c:v>31646.5</c:v>
                </c:pt>
                <c:pt idx="9">
                  <c:v>32134.5</c:v>
                </c:pt>
                <c:pt idx="10">
                  <c:v>32151.5</c:v>
                </c:pt>
                <c:pt idx="11">
                  <c:v>32170.5</c:v>
                </c:pt>
                <c:pt idx="12">
                  <c:v>32270</c:v>
                </c:pt>
                <c:pt idx="13">
                  <c:v>32277.5</c:v>
                </c:pt>
                <c:pt idx="14">
                  <c:v>32822.5</c:v>
                </c:pt>
                <c:pt idx="15">
                  <c:v>32881</c:v>
                </c:pt>
                <c:pt idx="16">
                  <c:v>32937.5</c:v>
                </c:pt>
                <c:pt idx="17">
                  <c:v>35520</c:v>
                </c:pt>
                <c:pt idx="18">
                  <c:v>36196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9.4636000001628418E-2</c:v>
                </c:pt>
                <c:pt idx="4">
                  <c:v>9.6000000005005859E-2</c:v>
                </c:pt>
                <c:pt idx="6">
                  <c:v>9.8087999998824671E-2</c:v>
                </c:pt>
                <c:pt idx="7">
                  <c:v>0.10283999999955995</c:v>
                </c:pt>
                <c:pt idx="8">
                  <c:v>0.10149199999432312</c:v>
                </c:pt>
                <c:pt idx="9">
                  <c:v>9.8186000002897345E-2</c:v>
                </c:pt>
                <c:pt idx="10">
                  <c:v>9.4132000005629379E-2</c:v>
                </c:pt>
                <c:pt idx="11">
                  <c:v>9.8614000002271496E-2</c:v>
                </c:pt>
                <c:pt idx="13">
                  <c:v>9.6120000001974404E-2</c:v>
                </c:pt>
                <c:pt idx="14">
                  <c:v>0.1000800000037998</c:v>
                </c:pt>
                <c:pt idx="16">
                  <c:v>9.7399999998742715E-2</c:v>
                </c:pt>
                <c:pt idx="17">
                  <c:v>9.5760000003792811E-2</c:v>
                </c:pt>
                <c:pt idx="18">
                  <c:v>9.9048000003676862E-2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E8-431B-8708-C92F432016C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0</c:v>
                  </c:pt>
                  <c:pt idx="5">
                    <c:v>5.1999999999999998E-3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0.01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1.6999999999999999E-3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8.9999999999999998E-4</c:v>
                  </c:pt>
                  <c:pt idx="17">
                    <c:v>2.9999999999999997E-4</c:v>
                  </c:pt>
                  <c:pt idx="18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0</c:v>
                  </c:pt>
                  <c:pt idx="5">
                    <c:v>5.1999999999999998E-3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0.01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1.6999999999999999E-3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8.9999999999999998E-4</c:v>
                  </c:pt>
                  <c:pt idx="17">
                    <c:v>2.9999999999999997E-4</c:v>
                  </c:pt>
                  <c:pt idx="18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707</c:v>
                </c:pt>
                <c:pt idx="2">
                  <c:v>1187</c:v>
                </c:pt>
                <c:pt idx="3">
                  <c:v>28222</c:v>
                </c:pt>
                <c:pt idx="4">
                  <c:v>28300</c:v>
                </c:pt>
                <c:pt idx="5">
                  <c:v>29565</c:v>
                </c:pt>
                <c:pt idx="6">
                  <c:v>30826</c:v>
                </c:pt>
                <c:pt idx="7">
                  <c:v>30917.5</c:v>
                </c:pt>
                <c:pt idx="8">
                  <c:v>31646.5</c:v>
                </c:pt>
                <c:pt idx="9">
                  <c:v>32134.5</c:v>
                </c:pt>
                <c:pt idx="10">
                  <c:v>32151.5</c:v>
                </c:pt>
                <c:pt idx="11">
                  <c:v>32170.5</c:v>
                </c:pt>
                <c:pt idx="12">
                  <c:v>32270</c:v>
                </c:pt>
                <c:pt idx="13">
                  <c:v>32277.5</c:v>
                </c:pt>
                <c:pt idx="14">
                  <c:v>32822.5</c:v>
                </c:pt>
                <c:pt idx="15">
                  <c:v>32881</c:v>
                </c:pt>
                <c:pt idx="16">
                  <c:v>32937.5</c:v>
                </c:pt>
                <c:pt idx="17">
                  <c:v>35520</c:v>
                </c:pt>
                <c:pt idx="18">
                  <c:v>36196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E8-431B-8708-C92F432016C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0</c:v>
                  </c:pt>
                  <c:pt idx="5">
                    <c:v>5.1999999999999998E-3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0.01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1.6999999999999999E-3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8.9999999999999998E-4</c:v>
                  </c:pt>
                  <c:pt idx="17">
                    <c:v>2.9999999999999997E-4</c:v>
                  </c:pt>
                  <c:pt idx="18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0</c:v>
                  </c:pt>
                  <c:pt idx="5">
                    <c:v>5.1999999999999998E-3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0.01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1.6999999999999999E-3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8.9999999999999998E-4</c:v>
                  </c:pt>
                  <c:pt idx="17">
                    <c:v>2.9999999999999997E-4</c:v>
                  </c:pt>
                  <c:pt idx="18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707</c:v>
                </c:pt>
                <c:pt idx="2">
                  <c:v>1187</c:v>
                </c:pt>
                <c:pt idx="3">
                  <c:v>28222</c:v>
                </c:pt>
                <c:pt idx="4">
                  <c:v>28300</c:v>
                </c:pt>
                <c:pt idx="5">
                  <c:v>29565</c:v>
                </c:pt>
                <c:pt idx="6">
                  <c:v>30826</c:v>
                </c:pt>
                <c:pt idx="7">
                  <c:v>30917.5</c:v>
                </c:pt>
                <c:pt idx="8">
                  <c:v>31646.5</c:v>
                </c:pt>
                <c:pt idx="9">
                  <c:v>32134.5</c:v>
                </c:pt>
                <c:pt idx="10">
                  <c:v>32151.5</c:v>
                </c:pt>
                <c:pt idx="11">
                  <c:v>32170.5</c:v>
                </c:pt>
                <c:pt idx="12">
                  <c:v>32270</c:v>
                </c:pt>
                <c:pt idx="13">
                  <c:v>32277.5</c:v>
                </c:pt>
                <c:pt idx="14">
                  <c:v>32822.5</c:v>
                </c:pt>
                <c:pt idx="15">
                  <c:v>32881</c:v>
                </c:pt>
                <c:pt idx="16">
                  <c:v>32937.5</c:v>
                </c:pt>
                <c:pt idx="17">
                  <c:v>35520</c:v>
                </c:pt>
                <c:pt idx="18">
                  <c:v>36196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E8-431B-8708-C92F432016C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0</c:v>
                  </c:pt>
                  <c:pt idx="5">
                    <c:v>5.1999999999999998E-3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0.01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1.6999999999999999E-3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8.9999999999999998E-4</c:v>
                  </c:pt>
                  <c:pt idx="17">
                    <c:v>2.9999999999999997E-4</c:v>
                  </c:pt>
                  <c:pt idx="18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0</c:v>
                  </c:pt>
                  <c:pt idx="5">
                    <c:v>5.1999999999999998E-3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0.01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1.6999999999999999E-3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8.9999999999999998E-4</c:v>
                  </c:pt>
                  <c:pt idx="17">
                    <c:v>2.9999999999999997E-4</c:v>
                  </c:pt>
                  <c:pt idx="18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707</c:v>
                </c:pt>
                <c:pt idx="2">
                  <c:v>1187</c:v>
                </c:pt>
                <c:pt idx="3">
                  <c:v>28222</c:v>
                </c:pt>
                <c:pt idx="4">
                  <c:v>28300</c:v>
                </c:pt>
                <c:pt idx="5">
                  <c:v>29565</c:v>
                </c:pt>
                <c:pt idx="6">
                  <c:v>30826</c:v>
                </c:pt>
                <c:pt idx="7">
                  <c:v>30917.5</c:v>
                </c:pt>
                <c:pt idx="8">
                  <c:v>31646.5</c:v>
                </c:pt>
                <c:pt idx="9">
                  <c:v>32134.5</c:v>
                </c:pt>
                <c:pt idx="10">
                  <c:v>32151.5</c:v>
                </c:pt>
                <c:pt idx="11">
                  <c:v>32170.5</c:v>
                </c:pt>
                <c:pt idx="12">
                  <c:v>32270</c:v>
                </c:pt>
                <c:pt idx="13">
                  <c:v>32277.5</c:v>
                </c:pt>
                <c:pt idx="14">
                  <c:v>32822.5</c:v>
                </c:pt>
                <c:pt idx="15">
                  <c:v>32881</c:v>
                </c:pt>
                <c:pt idx="16">
                  <c:v>32937.5</c:v>
                </c:pt>
                <c:pt idx="17">
                  <c:v>35520</c:v>
                </c:pt>
                <c:pt idx="18">
                  <c:v>36196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BE8-431B-8708-C92F432016C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707</c:v>
                </c:pt>
                <c:pt idx="2">
                  <c:v>1187</c:v>
                </c:pt>
                <c:pt idx="3">
                  <c:v>28222</c:v>
                </c:pt>
                <c:pt idx="4">
                  <c:v>28300</c:v>
                </c:pt>
                <c:pt idx="5">
                  <c:v>29565</c:v>
                </c:pt>
                <c:pt idx="6">
                  <c:v>30826</c:v>
                </c:pt>
                <c:pt idx="7">
                  <c:v>30917.5</c:v>
                </c:pt>
                <c:pt idx="8">
                  <c:v>31646.5</c:v>
                </c:pt>
                <c:pt idx="9">
                  <c:v>32134.5</c:v>
                </c:pt>
                <c:pt idx="10">
                  <c:v>32151.5</c:v>
                </c:pt>
                <c:pt idx="11">
                  <c:v>32170.5</c:v>
                </c:pt>
                <c:pt idx="12">
                  <c:v>32270</c:v>
                </c:pt>
                <c:pt idx="13">
                  <c:v>32277.5</c:v>
                </c:pt>
                <c:pt idx="14">
                  <c:v>32822.5</c:v>
                </c:pt>
                <c:pt idx="15">
                  <c:v>32881</c:v>
                </c:pt>
                <c:pt idx="16">
                  <c:v>32937.5</c:v>
                </c:pt>
                <c:pt idx="17">
                  <c:v>35520</c:v>
                </c:pt>
                <c:pt idx="18">
                  <c:v>36196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9.7549664718414697E-2</c:v>
                </c:pt>
                <c:pt idx="1">
                  <c:v>9.7559088881697745E-2</c:v>
                </c:pt>
                <c:pt idx="2">
                  <c:v>9.7565487182087948E-2</c:v>
                </c:pt>
                <c:pt idx="3">
                  <c:v>9.7925858121773054E-2</c:v>
                </c:pt>
                <c:pt idx="4">
                  <c:v>9.7926897845586461E-2</c:v>
                </c:pt>
                <c:pt idx="5">
                  <c:v>9.7943760033073105E-2</c:v>
                </c:pt>
                <c:pt idx="6">
                  <c:v>9.796056890138985E-2</c:v>
                </c:pt>
                <c:pt idx="7">
                  <c:v>9.7961788577401718E-2</c:v>
                </c:pt>
                <c:pt idx="8">
                  <c:v>9.7971505996119326E-2</c:v>
                </c:pt>
                <c:pt idx="9">
                  <c:v>9.7978010934849355E-2</c:v>
                </c:pt>
                <c:pt idx="10">
                  <c:v>9.7978237541321511E-2</c:v>
                </c:pt>
                <c:pt idx="11">
                  <c:v>9.7978490807378624E-2</c:v>
                </c:pt>
                <c:pt idx="12">
                  <c:v>9.7979817121730345E-2</c:v>
                </c:pt>
                <c:pt idx="13">
                  <c:v>9.7979917095173938E-2</c:v>
                </c:pt>
                <c:pt idx="14">
                  <c:v>9.7987181832075304E-2</c:v>
                </c:pt>
                <c:pt idx="15">
                  <c:v>9.7987961624935352E-2</c:v>
                </c:pt>
                <c:pt idx="16">
                  <c:v>9.7988714758210443E-2</c:v>
                </c:pt>
                <c:pt idx="17">
                  <c:v>9.8023138947288938E-2</c:v>
                </c:pt>
                <c:pt idx="18">
                  <c:v>9.8032149887005121E-2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E8-431B-8708-C92F43201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769728"/>
        <c:axId val="1"/>
      </c:scatterChart>
      <c:valAx>
        <c:axId val="594769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677419354839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12903225806452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4769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9032258064516"/>
          <c:y val="0.92073298764483702"/>
          <c:w val="0.67419354838709677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0</xdr:row>
      <xdr:rowOff>0</xdr:rowOff>
    </xdr:from>
    <xdr:to>
      <xdr:col>18</xdr:col>
      <xdr:colOff>228600</xdr:colOff>
      <xdr:row>18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83F33D3C-9223-3BD6-AFEF-F503B84F1A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361950</xdr:colOff>
      <xdr:row>0</xdr:row>
      <xdr:rowOff>0</xdr:rowOff>
    </xdr:from>
    <xdr:to>
      <xdr:col>27</xdr:col>
      <xdr:colOff>95250</xdr:colOff>
      <xdr:row>18</xdr:row>
      <xdr:rowOff>47625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0B1FBC39-865D-2D01-58A8-E71C9DEF9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92" TargetMode="External"/><Relationship Id="rId13" Type="http://schemas.openxmlformats.org/officeDocument/2006/relationships/hyperlink" Target="http://www.bav-astro.de/sfs/BAVM_link.php?BAVMnr=228" TargetMode="External"/><Relationship Id="rId3" Type="http://schemas.openxmlformats.org/officeDocument/2006/relationships/hyperlink" Target="http://www.bav-astro.de/sfs/BAVM_link.php?BAVMnr=186" TargetMode="External"/><Relationship Id="rId7" Type="http://schemas.openxmlformats.org/officeDocument/2006/relationships/hyperlink" Target="http://var.astro.cz/oejv/issues/oejv0160.pdf" TargetMode="External"/><Relationship Id="rId12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vsolj.cetus-net.org/no44.pdf" TargetMode="External"/><Relationship Id="rId1" Type="http://schemas.openxmlformats.org/officeDocument/2006/relationships/hyperlink" Target="http://www.konkoly.hu/cgi-bin/IBVS?5690" TargetMode="External"/><Relationship Id="rId6" Type="http://schemas.openxmlformats.org/officeDocument/2006/relationships/hyperlink" Target="http://www.konkoly.hu/cgi-bin/IBVS?5945" TargetMode="External"/><Relationship Id="rId11" Type="http://schemas.openxmlformats.org/officeDocument/2006/relationships/hyperlink" Target="http://www.konkoly.hu/cgi-bin/IBVS?5992" TargetMode="External"/><Relationship Id="rId5" Type="http://schemas.openxmlformats.org/officeDocument/2006/relationships/hyperlink" Target="http://var.astro.cz/oejv/issues/oejv0107.pdf" TargetMode="External"/><Relationship Id="rId10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konkoly.hu/cgi-bin/IBVS?5894" TargetMode="External"/><Relationship Id="rId9" Type="http://schemas.openxmlformats.org/officeDocument/2006/relationships/hyperlink" Target="http://var.astro.cz/oejv/issues/oejv0160.pdf" TargetMode="External"/><Relationship Id="rId14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31</v>
      </c>
    </row>
    <row r="2" spans="1:6" x14ac:dyDescent="0.2">
      <c r="A2" t="s">
        <v>25</v>
      </c>
      <c r="B2" t="s">
        <v>39</v>
      </c>
    </row>
    <row r="4" spans="1:6" ht="14.25" thickTop="1" thickBot="1" x14ac:dyDescent="0.25">
      <c r="A4" s="6" t="s">
        <v>1</v>
      </c>
      <c r="C4" s="3">
        <v>37781.360000000001</v>
      </c>
      <c r="D4" s="36">
        <v>3.5967850000000001</v>
      </c>
    </row>
    <row r="5" spans="1:6" ht="13.5" thickTop="1" x14ac:dyDescent="0.2">
      <c r="A5" s="13" t="s">
        <v>32</v>
      </c>
      <c r="B5" s="14"/>
      <c r="C5" s="15">
        <v>-9.5</v>
      </c>
      <c r="D5" s="14" t="s">
        <v>33</v>
      </c>
    </row>
    <row r="6" spans="1:6" x14ac:dyDescent="0.2">
      <c r="A6" s="6" t="s">
        <v>2</v>
      </c>
    </row>
    <row r="7" spans="1:6" x14ac:dyDescent="0.2">
      <c r="A7" t="s">
        <v>3</v>
      </c>
      <c r="C7">
        <f>+C4</f>
        <v>37781.360000000001</v>
      </c>
    </row>
    <row r="8" spans="1:6" x14ac:dyDescent="0.2">
      <c r="A8" t="s">
        <v>4</v>
      </c>
      <c r="C8">
        <v>0.554512</v>
      </c>
    </row>
    <row r="9" spans="1:6" x14ac:dyDescent="0.2">
      <c r="A9" s="29" t="s">
        <v>40</v>
      </c>
      <c r="B9" s="30">
        <v>24</v>
      </c>
      <c r="C9" s="27" t="str">
        <f>"F"&amp;B9</f>
        <v>F24</v>
      </c>
      <c r="D9" s="28" t="str">
        <f>"G"&amp;B9</f>
        <v>G24</v>
      </c>
    </row>
    <row r="10" spans="1:6" ht="13.5" thickBot="1" x14ac:dyDescent="0.25">
      <c r="A10" s="14"/>
      <c r="B10" s="14"/>
      <c r="C10" s="5" t="s">
        <v>21</v>
      </c>
      <c r="D10" s="5" t="s">
        <v>22</v>
      </c>
      <c r="E10" s="14"/>
    </row>
    <row r="11" spans="1:6" x14ac:dyDescent="0.2">
      <c r="A11" s="14" t="s">
        <v>17</v>
      </c>
      <c r="B11" s="14"/>
      <c r="C11" s="26">
        <f ca="1">INTERCEPT(INDIRECT($D$9):G992,INDIRECT($C$9):F992)</f>
        <v>9.7549664718414697E-2</v>
      </c>
      <c r="D11" s="4"/>
      <c r="E11" s="14"/>
    </row>
    <row r="12" spans="1:6" x14ac:dyDescent="0.2">
      <c r="A12" s="14" t="s">
        <v>18</v>
      </c>
      <c r="B12" s="14"/>
      <c r="C12" s="26">
        <f ca="1">SLOPE(INDIRECT($D$9):G992,INDIRECT($C$9):F992)</f>
        <v>1.3329792479567459E-8</v>
      </c>
      <c r="D12" s="4"/>
      <c r="E12" s="14"/>
    </row>
    <row r="13" spans="1:6" x14ac:dyDescent="0.2">
      <c r="A13" s="14" t="s">
        <v>20</v>
      </c>
      <c r="B13" s="14"/>
      <c r="C13" s="4" t="s">
        <v>15</v>
      </c>
    </row>
    <row r="14" spans="1:6" x14ac:dyDescent="0.2">
      <c r="A14" s="14"/>
      <c r="B14" s="14"/>
      <c r="C14" s="14"/>
    </row>
    <row r="15" spans="1:6" x14ac:dyDescent="0.2">
      <c r="A15" s="16" t="s">
        <v>19</v>
      </c>
      <c r="B15" s="14"/>
      <c r="C15" s="17">
        <f ca="1">(C7+C11)+(C8+C12)*INT(MAX(F21:F3533))</f>
        <v>57852.574384149884</v>
      </c>
      <c r="E15" s="18" t="s">
        <v>43</v>
      </c>
      <c r="F15" s="15">
        <v>1</v>
      </c>
    </row>
    <row r="16" spans="1:6" x14ac:dyDescent="0.2">
      <c r="A16" s="20" t="s">
        <v>5</v>
      </c>
      <c r="B16" s="14"/>
      <c r="C16" s="21">
        <f ca="1">+C8+C12</f>
        <v>0.5545120133297925</v>
      </c>
      <c r="E16" s="18" t="s">
        <v>34</v>
      </c>
      <c r="F16" s="19">
        <f ca="1">NOW()+15018.5+$C$5/24</f>
        <v>60339.634374189809</v>
      </c>
    </row>
    <row r="17" spans="1:17" ht="13.5" thickBot="1" x14ac:dyDescent="0.25">
      <c r="A17" s="18" t="s">
        <v>36</v>
      </c>
      <c r="B17" s="14"/>
      <c r="C17" s="14">
        <f>COUNT(C21:C2191)</f>
        <v>19</v>
      </c>
      <c r="E17" s="18" t="s">
        <v>44</v>
      </c>
      <c r="F17" s="19">
        <f ca="1">ROUND(2*(F16-$C$7)/$C$8,0)/2+F15</f>
        <v>40682.5</v>
      </c>
    </row>
    <row r="18" spans="1:17" ht="14.25" thickTop="1" thickBot="1" x14ac:dyDescent="0.25">
      <c r="A18" s="20" t="s">
        <v>6</v>
      </c>
      <c r="B18" s="14"/>
      <c r="C18" s="23">
        <f ca="1">+C15</f>
        <v>57852.574384149884</v>
      </c>
      <c r="D18" s="24">
        <f ca="1">+C16</f>
        <v>0.5545120133297925</v>
      </c>
      <c r="E18" s="18" t="s">
        <v>35</v>
      </c>
      <c r="F18" s="28">
        <f ca="1">ROUND(2*(F16-$C$15)/$C$16,0)/2+F15</f>
        <v>4486</v>
      </c>
    </row>
    <row r="19" spans="1:17" ht="13.5" thickTop="1" x14ac:dyDescent="0.2">
      <c r="E19" s="18" t="s">
        <v>37</v>
      </c>
      <c r="F19" s="22">
        <f ca="1">+$C$15+$C$16*F18-15018.5-$C$5/24</f>
        <v>45322.011109280669</v>
      </c>
    </row>
    <row r="20" spans="1:17" ht="13.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59</v>
      </c>
      <c r="I20" s="8" t="s">
        <v>62</v>
      </c>
      <c r="J20" s="8" t="s">
        <v>56</v>
      </c>
      <c r="K20" s="8" t="s">
        <v>54</v>
      </c>
      <c r="L20" s="8" t="s">
        <v>26</v>
      </c>
      <c r="M20" s="8" t="s">
        <v>27</v>
      </c>
      <c r="N20" s="8" t="s">
        <v>28</v>
      </c>
      <c r="O20" s="8" t="s">
        <v>24</v>
      </c>
      <c r="P20" s="7" t="s">
        <v>23</v>
      </c>
      <c r="Q20" s="5" t="s">
        <v>16</v>
      </c>
    </row>
    <row r="21" spans="1:17" x14ac:dyDescent="0.2">
      <c r="A21" t="s">
        <v>13</v>
      </c>
      <c r="C21" s="37">
        <f>+C4</f>
        <v>37781.360000000001</v>
      </c>
      <c r="D21" s="12" t="s">
        <v>15</v>
      </c>
      <c r="E21">
        <f t="shared" ref="E21:E38" si="0">+(C21-C$7)/C$8</f>
        <v>0</v>
      </c>
      <c r="F21">
        <f t="shared" ref="F21:F39" si="1">ROUND(2*E21,0)/2</f>
        <v>0</v>
      </c>
      <c r="G21">
        <f t="shared" ref="G21:G38" si="2">+C21-(C$7+F21*C$8)</f>
        <v>0</v>
      </c>
      <c r="H21">
        <f>+G21</f>
        <v>0</v>
      </c>
      <c r="O21">
        <f t="shared" ref="O21:O38" ca="1" si="3">+C$11+C$12*$F21</f>
        <v>9.7549664718414697E-2</v>
      </c>
      <c r="Q21" s="2">
        <f t="shared" ref="Q21:Q38" si="4">+C21-15018.5</f>
        <v>22762.86</v>
      </c>
    </row>
    <row r="22" spans="1:17" x14ac:dyDescent="0.2">
      <c r="A22" s="52" t="s">
        <v>68</v>
      </c>
      <c r="B22" s="53" t="s">
        <v>30</v>
      </c>
      <c r="C22" s="52">
        <v>38173.409</v>
      </c>
      <c r="D22" s="52" t="s">
        <v>62</v>
      </c>
      <c r="E22">
        <f t="shared" si="0"/>
        <v>707.01625934154549</v>
      </c>
      <c r="F22">
        <f t="shared" si="1"/>
        <v>707</v>
      </c>
      <c r="G22">
        <f t="shared" si="2"/>
        <v>9.015999996336177E-3</v>
      </c>
      <c r="I22">
        <f>+G22</f>
        <v>9.015999996336177E-3</v>
      </c>
      <c r="O22">
        <f t="shared" ca="1" si="3"/>
        <v>9.7559088881697745E-2</v>
      </c>
      <c r="Q22" s="2">
        <f t="shared" si="4"/>
        <v>23154.909</v>
      </c>
    </row>
    <row r="23" spans="1:17" x14ac:dyDescent="0.2">
      <c r="A23" s="52" t="s">
        <v>68</v>
      </c>
      <c r="B23" s="53" t="s">
        <v>30</v>
      </c>
      <c r="C23" s="52">
        <v>38439.567000000003</v>
      </c>
      <c r="D23" s="52" t="s">
        <v>62</v>
      </c>
      <c r="E23">
        <f t="shared" si="0"/>
        <v>1187.0022650546825</v>
      </c>
      <c r="F23">
        <f t="shared" si="1"/>
        <v>1187</v>
      </c>
      <c r="G23">
        <f t="shared" si="2"/>
        <v>1.2560000031953678E-3</v>
      </c>
      <c r="I23">
        <f>+G23</f>
        <v>1.2560000031953678E-3</v>
      </c>
      <c r="O23">
        <f t="shared" ca="1" si="3"/>
        <v>9.7565487182087948E-2</v>
      </c>
      <c r="Q23" s="2">
        <f t="shared" si="4"/>
        <v>23421.067000000003</v>
      </c>
    </row>
    <row r="24" spans="1:17" x14ac:dyDescent="0.2">
      <c r="A24" s="9" t="s">
        <v>29</v>
      </c>
      <c r="B24" s="10" t="s">
        <v>30</v>
      </c>
      <c r="C24" s="38">
        <v>53430.8923</v>
      </c>
      <c r="D24" s="11">
        <v>2.0000000000000001E-4</v>
      </c>
      <c r="E24">
        <f t="shared" si="0"/>
        <v>28222.170665377842</v>
      </c>
      <c r="F24">
        <f t="shared" si="1"/>
        <v>28222</v>
      </c>
      <c r="G24">
        <f t="shared" si="2"/>
        <v>9.4636000001628418E-2</v>
      </c>
      <c r="I24">
        <f>+G24</f>
        <v>9.4636000001628418E-2</v>
      </c>
      <c r="K24">
        <f>+G24</f>
        <v>9.4636000001628418E-2</v>
      </c>
      <c r="O24">
        <f t="shared" ca="1" si="3"/>
        <v>9.7925858121773054E-2</v>
      </c>
      <c r="Q24" s="2">
        <f t="shared" si="4"/>
        <v>38412.3923</v>
      </c>
    </row>
    <row r="25" spans="1:17" x14ac:dyDescent="0.2">
      <c r="A25" s="52" t="s">
        <v>86</v>
      </c>
      <c r="B25" s="53" t="s">
        <v>30</v>
      </c>
      <c r="C25" s="52">
        <v>53474.145600000003</v>
      </c>
      <c r="D25" s="52" t="s">
        <v>62</v>
      </c>
      <c r="E25">
        <f t="shared" si="0"/>
        <v>28300.173125198377</v>
      </c>
      <c r="F25">
        <f t="shared" si="1"/>
        <v>28300</v>
      </c>
      <c r="G25">
        <f t="shared" si="2"/>
        <v>9.6000000005005859E-2</v>
      </c>
      <c r="K25">
        <f>+G25</f>
        <v>9.6000000005005859E-2</v>
      </c>
      <c r="O25">
        <f t="shared" ca="1" si="3"/>
        <v>9.7926897845586461E-2</v>
      </c>
      <c r="Q25" s="2">
        <f t="shared" si="4"/>
        <v>38455.645600000003</v>
      </c>
    </row>
    <row r="26" spans="1:17" x14ac:dyDescent="0.2">
      <c r="A26" s="25" t="s">
        <v>38</v>
      </c>
      <c r="B26" s="31"/>
      <c r="C26" s="25">
        <v>54175.608200000002</v>
      </c>
      <c r="D26" s="25">
        <v>5.1999999999999998E-3</v>
      </c>
      <c r="E26">
        <f t="shared" si="0"/>
        <v>29565.181997864791</v>
      </c>
      <c r="F26">
        <f t="shared" si="1"/>
        <v>29565</v>
      </c>
      <c r="G26">
        <f t="shared" si="2"/>
        <v>0.10091999999713153</v>
      </c>
      <c r="J26">
        <f>+G26</f>
        <v>0.10091999999713153</v>
      </c>
      <c r="O26">
        <f t="shared" ca="1" si="3"/>
        <v>9.7943760033073105E-2</v>
      </c>
      <c r="Q26" s="2">
        <f t="shared" si="4"/>
        <v>39157.108200000002</v>
      </c>
    </row>
    <row r="27" spans="1:17" x14ac:dyDescent="0.2">
      <c r="A27" s="34" t="s">
        <v>45</v>
      </c>
      <c r="B27" s="35" t="s">
        <v>46</v>
      </c>
      <c r="C27" s="34">
        <v>54874.845000000001</v>
      </c>
      <c r="D27" s="34">
        <v>2E-3</v>
      </c>
      <c r="E27">
        <f t="shared" si="0"/>
        <v>30826.176890671439</v>
      </c>
      <c r="F27">
        <f t="shared" si="1"/>
        <v>30826</v>
      </c>
      <c r="G27">
        <f t="shared" si="2"/>
        <v>9.8087999998824671E-2</v>
      </c>
      <c r="K27">
        <f t="shared" ref="K27:K32" si="5">+G27</f>
        <v>9.8087999998824671E-2</v>
      </c>
      <c r="O27">
        <f t="shared" ca="1" si="3"/>
        <v>9.796056890138985E-2</v>
      </c>
      <c r="Q27" s="2">
        <f t="shared" si="4"/>
        <v>39856.345000000001</v>
      </c>
    </row>
    <row r="28" spans="1:17" x14ac:dyDescent="0.2">
      <c r="A28" s="32" t="s">
        <v>41</v>
      </c>
      <c r="B28" s="33" t="s">
        <v>30</v>
      </c>
      <c r="C28" s="25">
        <v>54925.587599999999</v>
      </c>
      <c r="D28" s="25">
        <v>4.0000000000000002E-4</v>
      </c>
      <c r="E28">
        <f t="shared" si="0"/>
        <v>30917.685460368753</v>
      </c>
      <c r="F28">
        <f t="shared" si="1"/>
        <v>30917.5</v>
      </c>
      <c r="G28">
        <f t="shared" si="2"/>
        <v>0.10283999999955995</v>
      </c>
      <c r="K28">
        <f t="shared" si="5"/>
        <v>0.10283999999955995</v>
      </c>
      <c r="O28">
        <f t="shared" ca="1" si="3"/>
        <v>9.7961788577401718E-2</v>
      </c>
      <c r="Q28" s="2">
        <f t="shared" si="4"/>
        <v>39907.087599999999</v>
      </c>
    </row>
    <row r="29" spans="1:17" x14ac:dyDescent="0.2">
      <c r="A29" s="34" t="s">
        <v>42</v>
      </c>
      <c r="B29" s="35" t="s">
        <v>30</v>
      </c>
      <c r="C29" s="34">
        <v>55329.825499999999</v>
      </c>
      <c r="D29" s="34">
        <v>5.0000000000000001E-4</v>
      </c>
      <c r="E29">
        <f t="shared" si="0"/>
        <v>31646.683029402426</v>
      </c>
      <c r="F29">
        <f t="shared" si="1"/>
        <v>31646.5</v>
      </c>
      <c r="G29">
        <f t="shared" si="2"/>
        <v>0.10149199999432312</v>
      </c>
      <c r="K29">
        <f t="shared" si="5"/>
        <v>0.10149199999432312</v>
      </c>
      <c r="O29">
        <f t="shared" ca="1" si="3"/>
        <v>9.7971505996119326E-2</v>
      </c>
      <c r="Q29" s="2">
        <f t="shared" si="4"/>
        <v>40311.325499999999</v>
      </c>
    </row>
    <row r="30" spans="1:17" x14ac:dyDescent="0.2">
      <c r="A30" s="32" t="s">
        <v>50</v>
      </c>
      <c r="B30" s="33" t="s">
        <v>46</v>
      </c>
      <c r="C30" s="25">
        <v>55600.424050000001</v>
      </c>
      <c r="D30" s="25">
        <v>0.01</v>
      </c>
      <c r="E30">
        <f t="shared" si="0"/>
        <v>32134.677067403412</v>
      </c>
      <c r="F30">
        <f t="shared" si="1"/>
        <v>32134.5</v>
      </c>
      <c r="G30">
        <f t="shared" si="2"/>
        <v>9.8186000002897345E-2</v>
      </c>
      <c r="K30">
        <f t="shared" si="5"/>
        <v>9.8186000002897345E-2</v>
      </c>
      <c r="O30">
        <f t="shared" ca="1" si="3"/>
        <v>9.7978010934849355E-2</v>
      </c>
      <c r="Q30" s="2">
        <f t="shared" si="4"/>
        <v>40581.924050000001</v>
      </c>
    </row>
    <row r="31" spans="1:17" x14ac:dyDescent="0.2">
      <c r="A31" s="34" t="s">
        <v>47</v>
      </c>
      <c r="B31" s="35" t="s">
        <v>30</v>
      </c>
      <c r="C31" s="34">
        <v>55609.846700000002</v>
      </c>
      <c r="D31" s="34">
        <v>8.0000000000000004E-4</v>
      </c>
      <c r="E31">
        <f t="shared" si="0"/>
        <v>32151.669756470557</v>
      </c>
      <c r="F31">
        <f t="shared" si="1"/>
        <v>32151.5</v>
      </c>
      <c r="G31">
        <f t="shared" si="2"/>
        <v>9.4132000005629379E-2</v>
      </c>
      <c r="K31">
        <f t="shared" si="5"/>
        <v>9.4132000005629379E-2</v>
      </c>
      <c r="O31">
        <f t="shared" ca="1" si="3"/>
        <v>9.7978237541321511E-2</v>
      </c>
      <c r="Q31" s="2">
        <f t="shared" si="4"/>
        <v>40591.346700000002</v>
      </c>
    </row>
    <row r="32" spans="1:17" x14ac:dyDescent="0.2">
      <c r="A32" s="32" t="s">
        <v>50</v>
      </c>
      <c r="B32" s="33" t="s">
        <v>46</v>
      </c>
      <c r="C32" s="25">
        <v>55620.386910000001</v>
      </c>
      <c r="D32" s="25">
        <v>1E-3</v>
      </c>
      <c r="E32">
        <f t="shared" si="0"/>
        <v>32170.677839253254</v>
      </c>
      <c r="F32">
        <f t="shared" si="1"/>
        <v>32170.5</v>
      </c>
      <c r="G32">
        <f t="shared" si="2"/>
        <v>9.8614000002271496E-2</v>
      </c>
      <c r="K32">
        <f t="shared" si="5"/>
        <v>9.8614000002271496E-2</v>
      </c>
      <c r="O32">
        <f t="shared" ca="1" si="3"/>
        <v>9.7978490807378624E-2</v>
      </c>
      <c r="Q32" s="2">
        <f t="shared" si="4"/>
        <v>40601.886910000001</v>
      </c>
    </row>
    <row r="33" spans="1:17" x14ac:dyDescent="0.2">
      <c r="A33" s="34" t="s">
        <v>48</v>
      </c>
      <c r="B33" s="35" t="s">
        <v>30</v>
      </c>
      <c r="C33" s="34">
        <v>55675.561300000001</v>
      </c>
      <c r="D33" s="34">
        <v>1.6999999999999999E-3</v>
      </c>
      <c r="E33">
        <f t="shared" si="0"/>
        <v>32270.178643564072</v>
      </c>
      <c r="F33">
        <f t="shared" si="1"/>
        <v>32270</v>
      </c>
      <c r="G33">
        <f t="shared" si="2"/>
        <v>9.9060000000463333E-2</v>
      </c>
      <c r="J33">
        <f>+G33</f>
        <v>9.9060000000463333E-2</v>
      </c>
      <c r="O33">
        <f t="shared" ca="1" si="3"/>
        <v>9.7979817121730345E-2</v>
      </c>
      <c r="Q33" s="2">
        <f t="shared" si="4"/>
        <v>40657.061300000001</v>
      </c>
    </row>
    <row r="34" spans="1:17" x14ac:dyDescent="0.2">
      <c r="A34" s="34" t="s">
        <v>47</v>
      </c>
      <c r="B34" s="35" t="s">
        <v>30</v>
      </c>
      <c r="C34" s="34">
        <v>55679.717199999999</v>
      </c>
      <c r="D34" s="34">
        <v>2.9999999999999997E-4</v>
      </c>
      <c r="E34">
        <f t="shared" si="0"/>
        <v>32277.673341604866</v>
      </c>
      <c r="F34">
        <f t="shared" si="1"/>
        <v>32277.5</v>
      </c>
      <c r="G34">
        <f t="shared" si="2"/>
        <v>9.6120000001974404E-2</v>
      </c>
      <c r="K34">
        <f>+G34</f>
        <v>9.6120000001974404E-2</v>
      </c>
      <c r="O34">
        <f t="shared" ca="1" si="3"/>
        <v>9.7979917095173938E-2</v>
      </c>
      <c r="Q34" s="2">
        <f t="shared" si="4"/>
        <v>40661.217199999999</v>
      </c>
    </row>
    <row r="35" spans="1:17" x14ac:dyDescent="0.2">
      <c r="A35" s="25" t="s">
        <v>49</v>
      </c>
      <c r="B35" s="33" t="s">
        <v>30</v>
      </c>
      <c r="C35" s="25">
        <v>55981.930200000003</v>
      </c>
      <c r="D35" s="25">
        <v>5.0000000000000001E-4</v>
      </c>
      <c r="E35">
        <f t="shared" si="0"/>
        <v>32822.680483019307</v>
      </c>
      <c r="F35">
        <f t="shared" si="1"/>
        <v>32822.5</v>
      </c>
      <c r="G35">
        <f t="shared" si="2"/>
        <v>0.1000800000037998</v>
      </c>
      <c r="K35">
        <f>+G35</f>
        <v>0.1000800000037998</v>
      </c>
      <c r="O35">
        <f t="shared" ca="1" si="3"/>
        <v>9.7987181832075304E-2</v>
      </c>
      <c r="Q35" s="2">
        <f t="shared" si="4"/>
        <v>40963.430200000003</v>
      </c>
    </row>
    <row r="36" spans="1:17" x14ac:dyDescent="0.2">
      <c r="A36" s="32" t="s">
        <v>51</v>
      </c>
      <c r="B36" s="33" t="s">
        <v>46</v>
      </c>
      <c r="C36" s="25">
        <v>56014.364300000001</v>
      </c>
      <c r="D36" s="25">
        <v>1E-4</v>
      </c>
      <c r="E36">
        <f t="shared" si="0"/>
        <v>32881.171732983239</v>
      </c>
      <c r="F36">
        <f t="shared" si="1"/>
        <v>32881</v>
      </c>
      <c r="G36">
        <f t="shared" si="2"/>
        <v>9.5228000005590729E-2</v>
      </c>
      <c r="J36">
        <f>+G36</f>
        <v>9.5228000005590729E-2</v>
      </c>
      <c r="O36">
        <f t="shared" ca="1" si="3"/>
        <v>9.7987961624935352E-2</v>
      </c>
      <c r="Q36" s="2">
        <f t="shared" si="4"/>
        <v>40995.864300000001</v>
      </c>
    </row>
    <row r="37" spans="1:17" x14ac:dyDescent="0.2">
      <c r="A37" s="25" t="s">
        <v>49</v>
      </c>
      <c r="B37" s="33" t="s">
        <v>30</v>
      </c>
      <c r="C37" s="25">
        <v>56045.696400000001</v>
      </c>
      <c r="D37" s="25">
        <v>8.9999999999999998E-4</v>
      </c>
      <c r="E37">
        <f t="shared" si="0"/>
        <v>32937.675649940851</v>
      </c>
      <c r="F37">
        <f t="shared" si="1"/>
        <v>32937.5</v>
      </c>
      <c r="G37">
        <f t="shared" si="2"/>
        <v>9.7399999998742715E-2</v>
      </c>
      <c r="K37">
        <f>+G37</f>
        <v>9.7399999998742715E-2</v>
      </c>
      <c r="O37">
        <f t="shared" ca="1" si="3"/>
        <v>9.7988714758210443E-2</v>
      </c>
      <c r="Q37" s="2">
        <f t="shared" si="4"/>
        <v>41027.196400000001</v>
      </c>
    </row>
    <row r="38" spans="1:17" x14ac:dyDescent="0.2">
      <c r="A38" s="54" t="s">
        <v>151</v>
      </c>
      <c r="B38" s="55"/>
      <c r="C38" s="25">
        <v>57477.722000000002</v>
      </c>
      <c r="D38" s="25">
        <v>2.9999999999999997E-4</v>
      </c>
      <c r="E38">
        <f t="shared" si="0"/>
        <v>35520.172692385378</v>
      </c>
      <c r="F38">
        <f t="shared" si="1"/>
        <v>35520</v>
      </c>
      <c r="G38">
        <f t="shared" si="2"/>
        <v>9.5760000003792811E-2</v>
      </c>
      <c r="K38">
        <f>+G38</f>
        <v>9.5760000003792811E-2</v>
      </c>
      <c r="O38">
        <f t="shared" ca="1" si="3"/>
        <v>9.8023138947288938E-2</v>
      </c>
      <c r="Q38" s="2">
        <f t="shared" si="4"/>
        <v>42459.222000000002</v>
      </c>
    </row>
    <row r="39" spans="1:17" x14ac:dyDescent="0.2">
      <c r="A39" s="56" t="s">
        <v>0</v>
      </c>
      <c r="B39" s="57" t="s">
        <v>30</v>
      </c>
      <c r="C39" s="57">
        <v>57852.575400000002</v>
      </c>
      <c r="D39" s="57">
        <v>1.6999999999999999E-3</v>
      </c>
      <c r="E39">
        <f>+(C39-C$7)/C$8</f>
        <v>36196.17862192342</v>
      </c>
      <c r="F39">
        <f t="shared" si="1"/>
        <v>36196</v>
      </c>
      <c r="G39">
        <f>+C39-(C$7+F39*C$8)</f>
        <v>9.9048000003676862E-2</v>
      </c>
      <c r="K39">
        <f>+G39</f>
        <v>9.9048000003676862E-2</v>
      </c>
      <c r="O39">
        <f ca="1">+C$11+C$12*$F39</f>
        <v>9.8032149887005121E-2</v>
      </c>
      <c r="Q39" s="2">
        <f>+C39-15018.5</f>
        <v>42834.075400000002</v>
      </c>
    </row>
    <row r="40" spans="1:17" x14ac:dyDescent="0.2">
      <c r="A40" s="55"/>
      <c r="B40" s="55"/>
      <c r="C40" s="55"/>
      <c r="D40" s="33"/>
    </row>
    <row r="41" spans="1:17" x14ac:dyDescent="0.2">
      <c r="A41" s="55"/>
      <c r="B41" s="55"/>
      <c r="C41" s="55"/>
      <c r="D41" s="33"/>
    </row>
    <row r="42" spans="1:17" x14ac:dyDescent="0.2">
      <c r="D42" s="4"/>
    </row>
    <row r="43" spans="1:17" x14ac:dyDescent="0.2">
      <c r="D43" s="4"/>
    </row>
    <row r="44" spans="1:17" x14ac:dyDescent="0.2">
      <c r="D44" s="4"/>
    </row>
    <row r="45" spans="1:17" x14ac:dyDescent="0.2">
      <c r="D45" s="4"/>
    </row>
    <row r="46" spans="1:17" x14ac:dyDescent="0.2">
      <c r="D46" s="4"/>
    </row>
    <row r="47" spans="1:17" x14ac:dyDescent="0.2">
      <c r="D47" s="4"/>
    </row>
    <row r="48" spans="1:17" x14ac:dyDescent="0.2">
      <c r="D48" s="4"/>
    </row>
    <row r="49" spans="4:4" x14ac:dyDescent="0.2">
      <c r="D49" s="4"/>
    </row>
    <row r="50" spans="4:4" x14ac:dyDescent="0.2">
      <c r="D50" s="4"/>
    </row>
    <row r="51" spans="4:4" x14ac:dyDescent="0.2">
      <c r="D51" s="4"/>
    </row>
    <row r="52" spans="4:4" x14ac:dyDescent="0.2">
      <c r="D52" s="4"/>
    </row>
  </sheetData>
  <phoneticPr fontId="7" type="noConversion"/>
  <hyperlinks>
    <hyperlink ref="H64830" r:id="rId1" display="http://vsolj.cetus-net.org/bulletin.html"/>
    <hyperlink ref="H64823" r:id="rId2" display="https://www.aavso.org/ejaavso"/>
    <hyperlink ref="AP974" r:id="rId3" display="http://cdsbib.u-strasbg.fr/cgi-bin/cdsbib?1990RMxAA..21..381G"/>
    <hyperlink ref="AP978" r:id="rId4" display="http://cdsbib.u-strasbg.fr/cgi-bin/cdsbib?1990RMxAA..21..381G"/>
    <hyperlink ref="AP977" r:id="rId5" display="http://cdsbib.u-strasbg.fr/cgi-bin/cdsbib?1990RMxAA..21..381G"/>
    <hyperlink ref="AP958" r:id="rId6" display="http://cdsbib.u-strasbg.fr/cgi-bin/cdsbib?1990RMxAA..21..381G"/>
    <hyperlink ref="I64830" r:id="rId7" display="http://vsolj.cetus-net.org/bulletin.html"/>
    <hyperlink ref="AQ1114" r:id="rId8" display="http://cdsbib.u-strasbg.fr/cgi-bin/cdsbib?1990RMxAA..21..381G"/>
    <hyperlink ref="AQ55880" r:id="rId9" display="http://cdsbib.u-strasbg.fr/cgi-bin/cdsbib?1990RMxAA..21..381G"/>
    <hyperlink ref="AQ1115" r:id="rId10" display="http://cdsbib.u-strasbg.fr/cgi-bin/cdsbib?1990RMxAA..21..381G"/>
    <hyperlink ref="H64827" r:id="rId11" display="https://www.aavso.org/ejaavso"/>
    <hyperlink ref="H2000" r:id="rId12" display="http://vsolj.cetus-net.org/bulletin.html"/>
    <hyperlink ref="AP3244" r:id="rId13" display="http://cdsbib.u-strasbg.fr/cgi-bin/cdsbib?1990RMxAA..21..381G"/>
    <hyperlink ref="AP3247" r:id="rId14" display="http://cdsbib.u-strasbg.fr/cgi-bin/cdsbib?1990RMxAA..21..381G"/>
    <hyperlink ref="AP3245" r:id="rId15" display="http://cdsbib.u-strasbg.fr/cgi-bin/cdsbib?1990RMxAA..21..381G"/>
    <hyperlink ref="AP3229" r:id="rId16" display="http://cdsbib.u-strasbg.fr/cgi-bin/cdsbib?1990RMxAA..21..381G"/>
    <hyperlink ref="I2000" r:id="rId17" display="http://vsolj.cetus-net.org/bulletin.html"/>
    <hyperlink ref="AQ3458" r:id="rId18" display="http://cdsbib.u-strasbg.fr/cgi-bin/cdsbib?1990RMxAA..21..381G"/>
    <hyperlink ref="AQ159" r:id="rId19" display="http://cdsbib.u-strasbg.fr/cgi-bin/cdsbib?1990RMxAA..21..381G"/>
    <hyperlink ref="AQ3462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5"/>
  <sheetViews>
    <sheetView topLeftCell="A5" workbookViewId="0">
      <selection activeCell="A25" sqref="A25:D27"/>
    </sheetView>
  </sheetViews>
  <sheetFormatPr defaultRowHeight="12.75" x14ac:dyDescent="0.2"/>
  <cols>
    <col min="1" max="1" width="19.7109375" style="12" customWidth="1"/>
    <col min="2" max="2" width="4.42578125" style="14" customWidth="1"/>
    <col min="3" max="3" width="12.7109375" style="12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2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39" t="s">
        <v>52</v>
      </c>
      <c r="I1" s="40" t="s">
        <v>53</v>
      </c>
      <c r="J1" s="41" t="s">
        <v>54</v>
      </c>
    </row>
    <row r="2" spans="1:16" x14ac:dyDescent="0.2">
      <c r="I2" s="42" t="s">
        <v>55</v>
      </c>
      <c r="J2" s="43" t="s">
        <v>56</v>
      </c>
    </row>
    <row r="3" spans="1:16" x14ac:dyDescent="0.2">
      <c r="A3" s="44" t="s">
        <v>57</v>
      </c>
      <c r="I3" s="42" t="s">
        <v>58</v>
      </c>
      <c r="J3" s="43" t="s">
        <v>59</v>
      </c>
    </row>
    <row r="4" spans="1:16" x14ac:dyDescent="0.2">
      <c r="I4" s="42" t="s">
        <v>60</v>
      </c>
      <c r="J4" s="43" t="s">
        <v>59</v>
      </c>
    </row>
    <row r="5" spans="1:16" ht="13.5" thickBot="1" x14ac:dyDescent="0.25">
      <c r="I5" s="45" t="s">
        <v>61</v>
      </c>
      <c r="J5" s="46" t="s">
        <v>62</v>
      </c>
    </row>
    <row r="10" spans="1:16" ht="13.5" thickBot="1" x14ac:dyDescent="0.25"/>
    <row r="11" spans="1:16" ht="12.75" customHeight="1" thickBot="1" x14ac:dyDescent="0.25">
      <c r="A11" s="12" t="str">
        <f t="shared" ref="A11:A27" si="0">P11</f>
        <v> VSS 7.457 </v>
      </c>
      <c r="B11" s="4" t="str">
        <f t="shared" ref="B11:B27" si="1">IF(H11=INT(H11),"I","II")</f>
        <v>I</v>
      </c>
      <c r="C11" s="12">
        <f t="shared" ref="C11:C27" si="2">1*G11</f>
        <v>37781.360000000001</v>
      </c>
      <c r="D11" s="14" t="str">
        <f t="shared" ref="D11:D27" si="3">VLOOKUP(F11,I$1:J$5,2,FALSE)</f>
        <v>vis</v>
      </c>
      <c r="E11" s="47">
        <f>VLOOKUP(C11,Active!C$21:E$973,3,FALSE)</f>
        <v>0</v>
      </c>
      <c r="F11" s="4" t="s">
        <v>61</v>
      </c>
      <c r="G11" s="14" t="str">
        <f t="shared" ref="G11:G27" si="4">MID(I11,3,LEN(I11)-3)</f>
        <v>37781.360</v>
      </c>
      <c r="H11" s="12">
        <f t="shared" ref="H11:H27" si="5">1*K11</f>
        <v>0</v>
      </c>
      <c r="I11" s="48" t="s">
        <v>63</v>
      </c>
      <c r="J11" s="49" t="s">
        <v>64</v>
      </c>
      <c r="K11" s="48">
        <v>0</v>
      </c>
      <c r="L11" s="48" t="s">
        <v>65</v>
      </c>
      <c r="M11" s="49" t="s">
        <v>66</v>
      </c>
      <c r="N11" s="49"/>
      <c r="O11" s="50" t="s">
        <v>67</v>
      </c>
      <c r="P11" s="50" t="s">
        <v>68</v>
      </c>
    </row>
    <row r="12" spans="1:16" ht="12.75" customHeight="1" thickBot="1" x14ac:dyDescent="0.25">
      <c r="A12" s="12" t="str">
        <f t="shared" si="0"/>
        <v>IBVS 5690 </v>
      </c>
      <c r="B12" s="4" t="str">
        <f t="shared" si="1"/>
        <v>I</v>
      </c>
      <c r="C12" s="12">
        <f t="shared" si="2"/>
        <v>53430.8923</v>
      </c>
      <c r="D12" s="14" t="str">
        <f t="shared" si="3"/>
        <v>vis</v>
      </c>
      <c r="E12" s="47">
        <f>VLOOKUP(C12,Active!C$21:E$973,3,FALSE)</f>
        <v>28222.170665377842</v>
      </c>
      <c r="F12" s="4" t="s">
        <v>61</v>
      </c>
      <c r="G12" s="14" t="str">
        <f t="shared" si="4"/>
        <v>53430.8923</v>
      </c>
      <c r="H12" s="12">
        <f t="shared" si="5"/>
        <v>4351</v>
      </c>
      <c r="I12" s="48" t="s">
        <v>75</v>
      </c>
      <c r="J12" s="49" t="s">
        <v>76</v>
      </c>
      <c r="K12" s="48">
        <v>4351</v>
      </c>
      <c r="L12" s="48" t="s">
        <v>77</v>
      </c>
      <c r="M12" s="49" t="s">
        <v>78</v>
      </c>
      <c r="N12" s="49" t="s">
        <v>79</v>
      </c>
      <c r="O12" s="50" t="s">
        <v>80</v>
      </c>
      <c r="P12" s="51" t="s">
        <v>81</v>
      </c>
    </row>
    <row r="13" spans="1:16" ht="12.75" customHeight="1" thickBot="1" x14ac:dyDescent="0.25">
      <c r="A13" s="12" t="str">
        <f t="shared" si="0"/>
        <v>BAVM 186 </v>
      </c>
      <c r="B13" s="4" t="str">
        <f t="shared" si="1"/>
        <v>I</v>
      </c>
      <c r="C13" s="12">
        <f t="shared" si="2"/>
        <v>54175.608200000002</v>
      </c>
      <c r="D13" s="14" t="str">
        <f t="shared" si="3"/>
        <v>vis</v>
      </c>
      <c r="E13" s="47">
        <f>VLOOKUP(C13,Active!C$21:E$973,3,FALSE)</f>
        <v>29565.181997864791</v>
      </c>
      <c r="F13" s="4" t="s">
        <v>61</v>
      </c>
      <c r="G13" s="14" t="str">
        <f t="shared" si="4"/>
        <v>54175.6082</v>
      </c>
      <c r="H13" s="12">
        <f t="shared" si="5"/>
        <v>4558</v>
      </c>
      <c r="I13" s="48" t="s">
        <v>87</v>
      </c>
      <c r="J13" s="49" t="s">
        <v>88</v>
      </c>
      <c r="K13" s="48">
        <v>4558</v>
      </c>
      <c r="L13" s="48" t="s">
        <v>89</v>
      </c>
      <c r="M13" s="49" t="s">
        <v>90</v>
      </c>
      <c r="N13" s="49" t="s">
        <v>91</v>
      </c>
      <c r="O13" s="50" t="s">
        <v>92</v>
      </c>
      <c r="P13" s="51" t="s">
        <v>93</v>
      </c>
    </row>
    <row r="14" spans="1:16" ht="12.75" customHeight="1" thickBot="1" x14ac:dyDescent="0.25">
      <c r="A14" s="12" t="str">
        <f t="shared" si="0"/>
        <v>IBVS 5894 </v>
      </c>
      <c r="B14" s="4" t="str">
        <f t="shared" si="1"/>
        <v>II</v>
      </c>
      <c r="C14" s="12">
        <f t="shared" si="2"/>
        <v>54874.845000000001</v>
      </c>
      <c r="D14" s="14" t="str">
        <f t="shared" si="3"/>
        <v>vis</v>
      </c>
      <c r="E14" s="47">
        <f>VLOOKUP(C14,Active!C$21:E$973,3,FALSE)</f>
        <v>30826.176890671439</v>
      </c>
      <c r="F14" s="4" t="s">
        <v>61</v>
      </c>
      <c r="G14" s="14" t="str">
        <f t="shared" si="4"/>
        <v>54874.845</v>
      </c>
      <c r="H14" s="12">
        <f t="shared" si="5"/>
        <v>4752.5</v>
      </c>
      <c r="I14" s="48" t="s">
        <v>94</v>
      </c>
      <c r="J14" s="49" t="s">
        <v>95</v>
      </c>
      <c r="K14" s="48" t="s">
        <v>96</v>
      </c>
      <c r="L14" s="48" t="s">
        <v>97</v>
      </c>
      <c r="M14" s="49" t="s">
        <v>90</v>
      </c>
      <c r="N14" s="49" t="s">
        <v>61</v>
      </c>
      <c r="O14" s="50" t="s">
        <v>98</v>
      </c>
      <c r="P14" s="51" t="s">
        <v>99</v>
      </c>
    </row>
    <row r="15" spans="1:16" ht="12.75" customHeight="1" thickBot="1" x14ac:dyDescent="0.25">
      <c r="A15" s="12" t="str">
        <f t="shared" si="0"/>
        <v>OEJV 0107 </v>
      </c>
      <c r="B15" s="4" t="str">
        <f t="shared" si="1"/>
        <v>II</v>
      </c>
      <c r="C15" s="12">
        <f t="shared" si="2"/>
        <v>54925.587599999999</v>
      </c>
      <c r="D15" s="14" t="str">
        <f t="shared" si="3"/>
        <v>vis</v>
      </c>
      <c r="E15" s="47">
        <f>VLOOKUP(C15,Active!C$21:E$973,3,FALSE)</f>
        <v>30917.685460368753</v>
      </c>
      <c r="F15" s="4" t="s">
        <v>61</v>
      </c>
      <c r="G15" s="14" t="str">
        <f t="shared" si="4"/>
        <v>54925.5876</v>
      </c>
      <c r="H15" s="12">
        <f t="shared" si="5"/>
        <v>4766.5</v>
      </c>
      <c r="I15" s="48" t="s">
        <v>100</v>
      </c>
      <c r="J15" s="49" t="s">
        <v>101</v>
      </c>
      <c r="K15" s="48" t="s">
        <v>102</v>
      </c>
      <c r="L15" s="48" t="s">
        <v>103</v>
      </c>
      <c r="M15" s="49" t="s">
        <v>90</v>
      </c>
      <c r="N15" s="49" t="s">
        <v>53</v>
      </c>
      <c r="O15" s="50" t="s">
        <v>104</v>
      </c>
      <c r="P15" s="51" t="s">
        <v>105</v>
      </c>
    </row>
    <row r="16" spans="1:16" ht="12.75" customHeight="1" thickBot="1" x14ac:dyDescent="0.25">
      <c r="A16" s="12" t="str">
        <f t="shared" si="0"/>
        <v>IBVS 5945 </v>
      </c>
      <c r="B16" s="4" t="str">
        <f t="shared" si="1"/>
        <v>I</v>
      </c>
      <c r="C16" s="12">
        <f t="shared" si="2"/>
        <v>55329.825499999999</v>
      </c>
      <c r="D16" s="14" t="str">
        <f t="shared" si="3"/>
        <v>vis</v>
      </c>
      <c r="E16" s="47">
        <f>VLOOKUP(C16,Active!C$21:E$973,3,FALSE)</f>
        <v>31646.683029402426</v>
      </c>
      <c r="F16" s="4" t="s">
        <v>61</v>
      </c>
      <c r="G16" s="14" t="str">
        <f t="shared" si="4"/>
        <v>55329.8255</v>
      </c>
      <c r="H16" s="12">
        <f t="shared" si="5"/>
        <v>4879</v>
      </c>
      <c r="I16" s="48" t="s">
        <v>106</v>
      </c>
      <c r="J16" s="49" t="s">
        <v>107</v>
      </c>
      <c r="K16" s="48" t="s">
        <v>108</v>
      </c>
      <c r="L16" s="48" t="s">
        <v>109</v>
      </c>
      <c r="M16" s="49" t="s">
        <v>90</v>
      </c>
      <c r="N16" s="49" t="s">
        <v>61</v>
      </c>
      <c r="O16" s="50" t="s">
        <v>98</v>
      </c>
      <c r="P16" s="51" t="s">
        <v>110</v>
      </c>
    </row>
    <row r="17" spans="1:16" ht="12.75" customHeight="1" thickBot="1" x14ac:dyDescent="0.25">
      <c r="A17" s="12" t="str">
        <f t="shared" si="0"/>
        <v>OEJV 0160 </v>
      </c>
      <c r="B17" s="4" t="str">
        <f t="shared" si="1"/>
        <v>I</v>
      </c>
      <c r="C17" s="12">
        <f t="shared" si="2"/>
        <v>55600.424050000001</v>
      </c>
      <c r="D17" s="14" t="str">
        <f t="shared" si="3"/>
        <v>vis</v>
      </c>
      <c r="E17" s="47">
        <f>VLOOKUP(C17,Active!C$21:E$973,3,FALSE)</f>
        <v>32134.677067403412</v>
      </c>
      <c r="F17" s="4" t="s">
        <v>61</v>
      </c>
      <c r="G17" s="14" t="str">
        <f t="shared" si="4"/>
        <v>55600.42405</v>
      </c>
      <c r="H17" s="12">
        <f t="shared" si="5"/>
        <v>4954</v>
      </c>
      <c r="I17" s="48" t="s">
        <v>111</v>
      </c>
      <c r="J17" s="49" t="s">
        <v>112</v>
      </c>
      <c r="K17" s="48" t="s">
        <v>113</v>
      </c>
      <c r="L17" s="48" t="s">
        <v>114</v>
      </c>
      <c r="M17" s="49" t="s">
        <v>90</v>
      </c>
      <c r="N17" s="49" t="s">
        <v>53</v>
      </c>
      <c r="O17" s="50" t="s">
        <v>115</v>
      </c>
      <c r="P17" s="51" t="s">
        <v>116</v>
      </c>
    </row>
    <row r="18" spans="1:16" ht="12.75" customHeight="1" thickBot="1" x14ac:dyDescent="0.25">
      <c r="A18" s="12" t="str">
        <f t="shared" si="0"/>
        <v>IBVS 5992 </v>
      </c>
      <c r="B18" s="4" t="str">
        <f t="shared" si="1"/>
        <v>I</v>
      </c>
      <c r="C18" s="12">
        <f t="shared" si="2"/>
        <v>55609.846700000002</v>
      </c>
      <c r="D18" s="14" t="str">
        <f t="shared" si="3"/>
        <v>vis</v>
      </c>
      <c r="E18" s="47">
        <f>VLOOKUP(C18,Active!C$21:E$973,3,FALSE)</f>
        <v>32151.669756470557</v>
      </c>
      <c r="F18" s="4" t="s">
        <v>61</v>
      </c>
      <c r="G18" s="14" t="str">
        <f t="shared" si="4"/>
        <v>55609.8467</v>
      </c>
      <c r="H18" s="12">
        <f t="shared" si="5"/>
        <v>4957</v>
      </c>
      <c r="I18" s="48" t="s">
        <v>117</v>
      </c>
      <c r="J18" s="49" t="s">
        <v>118</v>
      </c>
      <c r="K18" s="48" t="s">
        <v>119</v>
      </c>
      <c r="L18" s="48" t="s">
        <v>120</v>
      </c>
      <c r="M18" s="49" t="s">
        <v>90</v>
      </c>
      <c r="N18" s="49" t="s">
        <v>61</v>
      </c>
      <c r="O18" s="50" t="s">
        <v>98</v>
      </c>
      <c r="P18" s="51" t="s">
        <v>121</v>
      </c>
    </row>
    <row r="19" spans="1:16" ht="12.75" customHeight="1" thickBot="1" x14ac:dyDescent="0.25">
      <c r="A19" s="12" t="str">
        <f t="shared" si="0"/>
        <v>OEJV 0160 </v>
      </c>
      <c r="B19" s="4" t="str">
        <f t="shared" si="1"/>
        <v>I</v>
      </c>
      <c r="C19" s="12">
        <f t="shared" si="2"/>
        <v>55620.386910000001</v>
      </c>
      <c r="D19" s="14" t="str">
        <f t="shared" si="3"/>
        <v>vis</v>
      </c>
      <c r="E19" s="47">
        <f>VLOOKUP(C19,Active!C$21:E$973,3,FALSE)</f>
        <v>32170.677839253254</v>
      </c>
      <c r="F19" s="4" t="s">
        <v>61</v>
      </c>
      <c r="G19" s="14" t="str">
        <f t="shared" si="4"/>
        <v>55620.38691</v>
      </c>
      <c r="H19" s="12">
        <f t="shared" si="5"/>
        <v>4960</v>
      </c>
      <c r="I19" s="48" t="s">
        <v>122</v>
      </c>
      <c r="J19" s="49" t="s">
        <v>123</v>
      </c>
      <c r="K19" s="48" t="s">
        <v>124</v>
      </c>
      <c r="L19" s="48" t="s">
        <v>125</v>
      </c>
      <c r="M19" s="49" t="s">
        <v>90</v>
      </c>
      <c r="N19" s="49" t="s">
        <v>53</v>
      </c>
      <c r="O19" s="50" t="s">
        <v>115</v>
      </c>
      <c r="P19" s="51" t="s">
        <v>116</v>
      </c>
    </row>
    <row r="20" spans="1:16" ht="12.75" customHeight="1" thickBot="1" x14ac:dyDescent="0.25">
      <c r="A20" s="12" t="str">
        <f t="shared" si="0"/>
        <v>BAVM 220 </v>
      </c>
      <c r="B20" s="4" t="str">
        <f t="shared" si="1"/>
        <v>II</v>
      </c>
      <c r="C20" s="12">
        <f t="shared" si="2"/>
        <v>55675.561300000001</v>
      </c>
      <c r="D20" s="14" t="str">
        <f t="shared" si="3"/>
        <v>vis</v>
      </c>
      <c r="E20" s="47">
        <f>VLOOKUP(C20,Active!C$21:E$973,3,FALSE)</f>
        <v>32270.178643564072</v>
      </c>
      <c r="F20" s="4" t="s">
        <v>61</v>
      </c>
      <c r="G20" s="14" t="str">
        <f t="shared" si="4"/>
        <v>55675.5613</v>
      </c>
      <c r="H20" s="12">
        <f t="shared" si="5"/>
        <v>4975.5</v>
      </c>
      <c r="I20" s="48" t="s">
        <v>126</v>
      </c>
      <c r="J20" s="49" t="s">
        <v>127</v>
      </c>
      <c r="K20" s="48" t="s">
        <v>128</v>
      </c>
      <c r="L20" s="48" t="s">
        <v>129</v>
      </c>
      <c r="M20" s="49" t="s">
        <v>90</v>
      </c>
      <c r="N20" s="49" t="s">
        <v>91</v>
      </c>
      <c r="O20" s="50" t="s">
        <v>92</v>
      </c>
      <c r="P20" s="51" t="s">
        <v>130</v>
      </c>
    </row>
    <row r="21" spans="1:16" ht="12.75" customHeight="1" thickBot="1" x14ac:dyDescent="0.25">
      <c r="A21" s="12" t="str">
        <f t="shared" si="0"/>
        <v>IBVS 5992 </v>
      </c>
      <c r="B21" s="4" t="str">
        <f t="shared" si="1"/>
        <v>II</v>
      </c>
      <c r="C21" s="12">
        <f t="shared" si="2"/>
        <v>55679.717199999999</v>
      </c>
      <c r="D21" s="14" t="str">
        <f t="shared" si="3"/>
        <v>vis</v>
      </c>
      <c r="E21" s="47">
        <f>VLOOKUP(C21,Active!C$21:E$973,3,FALSE)</f>
        <v>32277.673341604866</v>
      </c>
      <c r="F21" s="4" t="s">
        <v>61</v>
      </c>
      <c r="G21" s="14" t="str">
        <f t="shared" si="4"/>
        <v>55679.7172</v>
      </c>
      <c r="H21" s="12">
        <f t="shared" si="5"/>
        <v>4976.5</v>
      </c>
      <c r="I21" s="48" t="s">
        <v>131</v>
      </c>
      <c r="J21" s="49" t="s">
        <v>132</v>
      </c>
      <c r="K21" s="48" t="s">
        <v>133</v>
      </c>
      <c r="L21" s="48" t="s">
        <v>134</v>
      </c>
      <c r="M21" s="49" t="s">
        <v>90</v>
      </c>
      <c r="N21" s="49" t="s">
        <v>61</v>
      </c>
      <c r="O21" s="50" t="s">
        <v>98</v>
      </c>
      <c r="P21" s="51" t="s">
        <v>121</v>
      </c>
    </row>
    <row r="22" spans="1:16" ht="12.75" customHeight="1" thickBot="1" x14ac:dyDescent="0.25">
      <c r="A22" s="12" t="str">
        <f t="shared" si="0"/>
        <v>IBVS 6029 </v>
      </c>
      <c r="B22" s="4" t="str">
        <f t="shared" si="1"/>
        <v>II</v>
      </c>
      <c r="C22" s="12">
        <f t="shared" si="2"/>
        <v>55981.930200000003</v>
      </c>
      <c r="D22" s="14" t="str">
        <f t="shared" si="3"/>
        <v>vis</v>
      </c>
      <c r="E22" s="47">
        <f>VLOOKUP(C22,Active!C$21:E$973,3,FALSE)</f>
        <v>32822.680483019307</v>
      </c>
      <c r="F22" s="4" t="s">
        <v>61</v>
      </c>
      <c r="G22" s="14" t="str">
        <f t="shared" si="4"/>
        <v>55981.9302</v>
      </c>
      <c r="H22" s="12">
        <f t="shared" si="5"/>
        <v>5060.5</v>
      </c>
      <c r="I22" s="48" t="s">
        <v>135</v>
      </c>
      <c r="J22" s="49" t="s">
        <v>136</v>
      </c>
      <c r="K22" s="48" t="s">
        <v>137</v>
      </c>
      <c r="L22" s="48" t="s">
        <v>138</v>
      </c>
      <c r="M22" s="49" t="s">
        <v>90</v>
      </c>
      <c r="N22" s="49" t="s">
        <v>61</v>
      </c>
      <c r="O22" s="50" t="s">
        <v>98</v>
      </c>
      <c r="P22" s="51" t="s">
        <v>139</v>
      </c>
    </row>
    <row r="23" spans="1:16" ht="12.75" customHeight="1" thickBot="1" x14ac:dyDescent="0.25">
      <c r="A23" s="12" t="str">
        <f t="shared" si="0"/>
        <v>BAVM 228 </v>
      </c>
      <c r="B23" s="4" t="str">
        <f t="shared" si="1"/>
        <v>II</v>
      </c>
      <c r="C23" s="12">
        <f t="shared" si="2"/>
        <v>56014.364300000001</v>
      </c>
      <c r="D23" s="14" t="str">
        <f t="shared" si="3"/>
        <v>vis</v>
      </c>
      <c r="E23" s="47">
        <f>VLOOKUP(C23,Active!C$21:E$973,3,FALSE)</f>
        <v>32881.171732983239</v>
      </c>
      <c r="F23" s="4" t="s">
        <v>61</v>
      </c>
      <c r="G23" s="14" t="str">
        <f t="shared" si="4"/>
        <v>56014.3643</v>
      </c>
      <c r="H23" s="12">
        <f t="shared" si="5"/>
        <v>5069.5</v>
      </c>
      <c r="I23" s="48" t="s">
        <v>140</v>
      </c>
      <c r="J23" s="49" t="s">
        <v>141</v>
      </c>
      <c r="K23" s="48" t="s">
        <v>142</v>
      </c>
      <c r="L23" s="48" t="s">
        <v>143</v>
      </c>
      <c r="M23" s="49" t="s">
        <v>90</v>
      </c>
      <c r="N23" s="49" t="s">
        <v>144</v>
      </c>
      <c r="O23" s="50" t="s">
        <v>145</v>
      </c>
      <c r="P23" s="51" t="s">
        <v>146</v>
      </c>
    </row>
    <row r="24" spans="1:16" ht="12.75" customHeight="1" thickBot="1" x14ac:dyDescent="0.25">
      <c r="A24" s="12" t="str">
        <f t="shared" si="0"/>
        <v>IBVS 6029 </v>
      </c>
      <c r="B24" s="4" t="str">
        <f t="shared" si="1"/>
        <v>I</v>
      </c>
      <c r="C24" s="12">
        <f t="shared" si="2"/>
        <v>56045.696400000001</v>
      </c>
      <c r="D24" s="14" t="str">
        <f t="shared" si="3"/>
        <v>vis</v>
      </c>
      <c r="E24" s="47">
        <f>VLOOKUP(C24,Active!C$21:E$973,3,FALSE)</f>
        <v>32937.675649940851</v>
      </c>
      <c r="F24" s="4" t="s">
        <v>61</v>
      </c>
      <c r="G24" s="14" t="str">
        <f t="shared" si="4"/>
        <v>56045.6964</v>
      </c>
      <c r="H24" s="12">
        <f t="shared" si="5"/>
        <v>5078</v>
      </c>
      <c r="I24" s="48" t="s">
        <v>147</v>
      </c>
      <c r="J24" s="49" t="s">
        <v>148</v>
      </c>
      <c r="K24" s="48" t="s">
        <v>149</v>
      </c>
      <c r="L24" s="48" t="s">
        <v>150</v>
      </c>
      <c r="M24" s="49" t="s">
        <v>90</v>
      </c>
      <c r="N24" s="49" t="s">
        <v>61</v>
      </c>
      <c r="O24" s="50" t="s">
        <v>98</v>
      </c>
      <c r="P24" s="51" t="s">
        <v>139</v>
      </c>
    </row>
    <row r="25" spans="1:16" ht="12.75" customHeight="1" thickBot="1" x14ac:dyDescent="0.25">
      <c r="A25" s="12" t="str">
        <f t="shared" si="0"/>
        <v> VSS 7.457 </v>
      </c>
      <c r="B25" s="4" t="str">
        <f t="shared" si="1"/>
        <v>I</v>
      </c>
      <c r="C25" s="12">
        <f t="shared" si="2"/>
        <v>38173.409</v>
      </c>
      <c r="D25" s="14" t="str">
        <f t="shared" si="3"/>
        <v>vis</v>
      </c>
      <c r="E25" s="47">
        <f>VLOOKUP(C25,Active!C$21:E$973,3,FALSE)</f>
        <v>707.01625934154549</v>
      </c>
      <c r="F25" s="4" t="s">
        <v>61</v>
      </c>
      <c r="G25" s="14" t="str">
        <f t="shared" si="4"/>
        <v>38173.409</v>
      </c>
      <c r="H25" s="12">
        <f t="shared" si="5"/>
        <v>109</v>
      </c>
      <c r="I25" s="48" t="s">
        <v>69</v>
      </c>
      <c r="J25" s="49" t="s">
        <v>70</v>
      </c>
      <c r="K25" s="48">
        <v>109</v>
      </c>
      <c r="L25" s="48" t="s">
        <v>71</v>
      </c>
      <c r="M25" s="49" t="s">
        <v>66</v>
      </c>
      <c r="N25" s="49"/>
      <c r="O25" s="50" t="s">
        <v>67</v>
      </c>
      <c r="P25" s="50" t="s">
        <v>68</v>
      </c>
    </row>
    <row r="26" spans="1:16" ht="12.75" customHeight="1" thickBot="1" x14ac:dyDescent="0.25">
      <c r="A26" s="12" t="str">
        <f t="shared" si="0"/>
        <v> VSS 7.457 </v>
      </c>
      <c r="B26" s="4" t="str">
        <f t="shared" si="1"/>
        <v>I</v>
      </c>
      <c r="C26" s="12">
        <f t="shared" si="2"/>
        <v>38439.567000000003</v>
      </c>
      <c r="D26" s="14" t="str">
        <f t="shared" si="3"/>
        <v>vis</v>
      </c>
      <c r="E26" s="47">
        <f>VLOOKUP(C26,Active!C$21:E$973,3,FALSE)</f>
        <v>1187.0022650546825</v>
      </c>
      <c r="F26" s="4" t="s">
        <v>61</v>
      </c>
      <c r="G26" s="14" t="str">
        <f t="shared" si="4"/>
        <v>38439.567</v>
      </c>
      <c r="H26" s="12">
        <f t="shared" si="5"/>
        <v>183</v>
      </c>
      <c r="I26" s="48" t="s">
        <v>72</v>
      </c>
      <c r="J26" s="49" t="s">
        <v>73</v>
      </c>
      <c r="K26" s="48">
        <v>183</v>
      </c>
      <c r="L26" s="48" t="s">
        <v>74</v>
      </c>
      <c r="M26" s="49" t="s">
        <v>66</v>
      </c>
      <c r="N26" s="49"/>
      <c r="O26" s="50" t="s">
        <v>67</v>
      </c>
      <c r="P26" s="50" t="s">
        <v>68</v>
      </c>
    </row>
    <row r="27" spans="1:16" ht="12.75" customHeight="1" thickBot="1" x14ac:dyDescent="0.25">
      <c r="A27" s="12" t="str">
        <f t="shared" si="0"/>
        <v>VSB 44 </v>
      </c>
      <c r="B27" s="4" t="str">
        <f t="shared" si="1"/>
        <v>I</v>
      </c>
      <c r="C27" s="12">
        <f t="shared" si="2"/>
        <v>53474.145600000003</v>
      </c>
      <c r="D27" s="14" t="str">
        <f t="shared" si="3"/>
        <v>vis</v>
      </c>
      <c r="E27" s="47">
        <f>VLOOKUP(C27,Active!C$21:E$973,3,FALSE)</f>
        <v>28300.173125198377</v>
      </c>
      <c r="F27" s="4" t="s">
        <v>61</v>
      </c>
      <c r="G27" s="14" t="str">
        <f t="shared" si="4"/>
        <v>53474.1456</v>
      </c>
      <c r="H27" s="12">
        <f t="shared" si="5"/>
        <v>4363</v>
      </c>
      <c r="I27" s="48" t="s">
        <v>82</v>
      </c>
      <c r="J27" s="49" t="s">
        <v>83</v>
      </c>
      <c r="K27" s="48">
        <v>4363</v>
      </c>
      <c r="L27" s="48" t="s">
        <v>84</v>
      </c>
      <c r="M27" s="49" t="s">
        <v>78</v>
      </c>
      <c r="N27" s="49" t="s">
        <v>79</v>
      </c>
      <c r="O27" s="50" t="s">
        <v>85</v>
      </c>
      <c r="P27" s="51" t="s">
        <v>86</v>
      </c>
    </row>
    <row r="28" spans="1:16" x14ac:dyDescent="0.2">
      <c r="B28" s="4"/>
      <c r="F28" s="4"/>
    </row>
    <row r="29" spans="1:16" x14ac:dyDescent="0.2">
      <c r="B29" s="4"/>
      <c r="F29" s="4"/>
    </row>
    <row r="30" spans="1:16" x14ac:dyDescent="0.2">
      <c r="B30" s="4"/>
      <c r="F30" s="4"/>
    </row>
    <row r="31" spans="1:16" x14ac:dyDescent="0.2">
      <c r="B31" s="4"/>
      <c r="F31" s="4"/>
    </row>
    <row r="32" spans="1:16" x14ac:dyDescent="0.2">
      <c r="B32" s="4"/>
      <c r="F32" s="4"/>
    </row>
    <row r="33" spans="2:6" x14ac:dyDescent="0.2">
      <c r="B33" s="4"/>
      <c r="F33" s="4"/>
    </row>
    <row r="34" spans="2:6" x14ac:dyDescent="0.2">
      <c r="B34" s="4"/>
      <c r="F34" s="4"/>
    </row>
    <row r="35" spans="2:6" x14ac:dyDescent="0.2">
      <c r="B35" s="4"/>
      <c r="F35" s="4"/>
    </row>
    <row r="36" spans="2:6" x14ac:dyDescent="0.2">
      <c r="B36" s="4"/>
      <c r="F36" s="4"/>
    </row>
    <row r="37" spans="2:6" x14ac:dyDescent="0.2">
      <c r="B37" s="4"/>
      <c r="F37" s="4"/>
    </row>
    <row r="38" spans="2:6" x14ac:dyDescent="0.2">
      <c r="B38" s="4"/>
      <c r="F38" s="4"/>
    </row>
    <row r="39" spans="2:6" x14ac:dyDescent="0.2">
      <c r="B39" s="4"/>
      <c r="F39" s="4"/>
    </row>
    <row r="40" spans="2:6" x14ac:dyDescent="0.2">
      <c r="B40" s="4"/>
      <c r="F40" s="4"/>
    </row>
    <row r="41" spans="2:6" x14ac:dyDescent="0.2">
      <c r="B41" s="4"/>
      <c r="F41" s="4"/>
    </row>
    <row r="42" spans="2:6" x14ac:dyDescent="0.2">
      <c r="B42" s="4"/>
      <c r="F42" s="4"/>
    </row>
    <row r="43" spans="2:6" x14ac:dyDescent="0.2">
      <c r="B43" s="4"/>
      <c r="F43" s="4"/>
    </row>
    <row r="44" spans="2:6" x14ac:dyDescent="0.2">
      <c r="B44" s="4"/>
      <c r="F44" s="4"/>
    </row>
    <row r="45" spans="2:6" x14ac:dyDescent="0.2">
      <c r="B45" s="4"/>
      <c r="F45" s="4"/>
    </row>
    <row r="46" spans="2:6" x14ac:dyDescent="0.2">
      <c r="B46" s="4"/>
      <c r="F46" s="4"/>
    </row>
    <row r="47" spans="2:6" x14ac:dyDescent="0.2">
      <c r="B47" s="4"/>
      <c r="F47" s="4"/>
    </row>
    <row r="48" spans="2:6" x14ac:dyDescent="0.2">
      <c r="B48" s="4"/>
      <c r="F48" s="4"/>
    </row>
    <row r="49" spans="2:6" x14ac:dyDescent="0.2">
      <c r="B49" s="4"/>
      <c r="F49" s="4"/>
    </row>
    <row r="50" spans="2:6" x14ac:dyDescent="0.2">
      <c r="B50" s="4"/>
      <c r="F50" s="4"/>
    </row>
    <row r="51" spans="2:6" x14ac:dyDescent="0.2">
      <c r="B51" s="4"/>
      <c r="F51" s="4"/>
    </row>
    <row r="52" spans="2:6" x14ac:dyDescent="0.2">
      <c r="B52" s="4"/>
      <c r="F52" s="4"/>
    </row>
    <row r="53" spans="2:6" x14ac:dyDescent="0.2">
      <c r="B53" s="4"/>
      <c r="F53" s="4"/>
    </row>
    <row r="54" spans="2:6" x14ac:dyDescent="0.2">
      <c r="B54" s="4"/>
      <c r="F54" s="4"/>
    </row>
    <row r="55" spans="2:6" x14ac:dyDescent="0.2">
      <c r="B55" s="4"/>
      <c r="F55" s="4"/>
    </row>
    <row r="56" spans="2:6" x14ac:dyDescent="0.2">
      <c r="B56" s="4"/>
      <c r="F56" s="4"/>
    </row>
    <row r="57" spans="2:6" x14ac:dyDescent="0.2">
      <c r="B57" s="4"/>
      <c r="F57" s="4"/>
    </row>
    <row r="58" spans="2:6" x14ac:dyDescent="0.2">
      <c r="B58" s="4"/>
      <c r="F58" s="4"/>
    </row>
    <row r="59" spans="2:6" x14ac:dyDescent="0.2">
      <c r="B59" s="4"/>
      <c r="F59" s="4"/>
    </row>
    <row r="60" spans="2:6" x14ac:dyDescent="0.2">
      <c r="B60" s="4"/>
      <c r="F60" s="4"/>
    </row>
    <row r="61" spans="2:6" x14ac:dyDescent="0.2">
      <c r="B61" s="4"/>
      <c r="F61" s="4"/>
    </row>
    <row r="62" spans="2:6" x14ac:dyDescent="0.2">
      <c r="B62" s="4"/>
      <c r="F62" s="4"/>
    </row>
    <row r="63" spans="2:6" x14ac:dyDescent="0.2">
      <c r="B63" s="4"/>
      <c r="F63" s="4"/>
    </row>
    <row r="64" spans="2:6" x14ac:dyDescent="0.2">
      <c r="B64" s="4"/>
      <c r="F64" s="4"/>
    </row>
    <row r="65" spans="2:6" x14ac:dyDescent="0.2">
      <c r="B65" s="4"/>
      <c r="F65" s="4"/>
    </row>
    <row r="66" spans="2:6" x14ac:dyDescent="0.2">
      <c r="B66" s="4"/>
      <c r="F66" s="4"/>
    </row>
    <row r="67" spans="2:6" x14ac:dyDescent="0.2">
      <c r="B67" s="4"/>
      <c r="F67" s="4"/>
    </row>
    <row r="68" spans="2:6" x14ac:dyDescent="0.2">
      <c r="B68" s="4"/>
      <c r="F68" s="4"/>
    </row>
    <row r="69" spans="2:6" x14ac:dyDescent="0.2">
      <c r="B69" s="4"/>
      <c r="F69" s="4"/>
    </row>
    <row r="70" spans="2:6" x14ac:dyDescent="0.2">
      <c r="B70" s="4"/>
      <c r="F70" s="4"/>
    </row>
    <row r="71" spans="2:6" x14ac:dyDescent="0.2">
      <c r="B71" s="4"/>
      <c r="F71" s="4"/>
    </row>
    <row r="72" spans="2:6" x14ac:dyDescent="0.2">
      <c r="B72" s="4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</sheetData>
  <phoneticPr fontId="7" type="noConversion"/>
  <hyperlinks>
    <hyperlink ref="P12" r:id="rId1" display="http://www.konkoly.hu/cgi-bin/IBVS?5690"/>
    <hyperlink ref="P27" r:id="rId2" display="http://vsolj.cetus-net.org/no44.pdf"/>
    <hyperlink ref="P13" r:id="rId3" display="http://www.bav-astro.de/sfs/BAVM_link.php?BAVMnr=186"/>
    <hyperlink ref="P14" r:id="rId4" display="http://www.konkoly.hu/cgi-bin/IBVS?5894"/>
    <hyperlink ref="P15" r:id="rId5" display="http://var.astro.cz/oejv/issues/oejv0107.pdf"/>
    <hyperlink ref="P16" r:id="rId6" display="http://www.konkoly.hu/cgi-bin/IBVS?5945"/>
    <hyperlink ref="P17" r:id="rId7" display="http://var.astro.cz/oejv/issues/oejv0160.pdf"/>
    <hyperlink ref="P18" r:id="rId8" display="http://www.konkoly.hu/cgi-bin/IBVS?5992"/>
    <hyperlink ref="P19" r:id="rId9" display="http://var.astro.cz/oejv/issues/oejv0160.pdf"/>
    <hyperlink ref="P20" r:id="rId10" display="http://www.bav-astro.de/sfs/BAVM_link.php?BAVMnr=220"/>
    <hyperlink ref="P21" r:id="rId11" display="http://www.konkoly.hu/cgi-bin/IBVS?5992"/>
    <hyperlink ref="P22" r:id="rId12" display="http://www.konkoly.hu/cgi-bin/IBVS?6029"/>
    <hyperlink ref="P23" r:id="rId13" display="http://www.bav-astro.de/sfs/BAVM_link.php?BAVMnr=228"/>
    <hyperlink ref="P24" r:id="rId14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2024-01-30T02:13:29Z</dcterms:modified>
</cp:coreProperties>
</file>