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FC0395-4DD2-42CA-9F9C-C0CEB478EE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43" i="1" l="1"/>
  <c r="D11" i="1"/>
  <c r="D12" i="1"/>
  <c r="Q42" i="1"/>
  <c r="E23" i="1"/>
  <c r="F23" i="1"/>
  <c r="P23" i="1"/>
  <c r="E29" i="1"/>
  <c r="F29" i="1"/>
  <c r="E33" i="1"/>
  <c r="F33" i="1"/>
  <c r="F16" i="1"/>
  <c r="F17" i="1" s="1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11" i="2"/>
  <c r="C11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D9" i="1"/>
  <c r="C9" i="1"/>
  <c r="Q37" i="1"/>
  <c r="Q39" i="1"/>
  <c r="Q40" i="1"/>
  <c r="Q41" i="1"/>
  <c r="Q36" i="1"/>
  <c r="Q38" i="1"/>
  <c r="Q31" i="1"/>
  <c r="Q32" i="1"/>
  <c r="Q33" i="1"/>
  <c r="Q34" i="1"/>
  <c r="Q35" i="1"/>
  <c r="D13" i="1"/>
  <c r="T8" i="1"/>
  <c r="T10" i="1"/>
  <c r="T16" i="1"/>
  <c r="T18" i="1"/>
  <c r="Q30" i="1"/>
  <c r="C17" i="1"/>
  <c r="Q28" i="1"/>
  <c r="Q29" i="1"/>
  <c r="Q27" i="1"/>
  <c r="C8" i="1"/>
  <c r="C7" i="1"/>
  <c r="Q25" i="1"/>
  <c r="Q23" i="1"/>
  <c r="Q26" i="1"/>
  <c r="Q24" i="1"/>
  <c r="Q22" i="1"/>
  <c r="Q21" i="1"/>
  <c r="E25" i="2"/>
  <c r="E20" i="2"/>
  <c r="E11" i="2"/>
  <c r="E22" i="2"/>
  <c r="E18" i="2"/>
  <c r="P31" i="1"/>
  <c r="E19" i="2"/>
  <c r="T14" i="1"/>
  <c r="T6" i="1"/>
  <c r="P29" i="1"/>
  <c r="S29" i="1" s="1"/>
  <c r="P25" i="1"/>
  <c r="S25" i="1" s="1"/>
  <c r="E37" i="1"/>
  <c r="F37" i="1"/>
  <c r="E25" i="1"/>
  <c r="F25" i="1"/>
  <c r="G25" i="1"/>
  <c r="K25" i="1"/>
  <c r="T7" i="1"/>
  <c r="G35" i="1"/>
  <c r="J35" i="1"/>
  <c r="E32" i="1"/>
  <c r="F32" i="1"/>
  <c r="G32" i="1"/>
  <c r="J32" i="1"/>
  <c r="G24" i="1"/>
  <c r="K24" i="1"/>
  <c r="E22" i="1"/>
  <c r="F22" i="1"/>
  <c r="E40" i="1"/>
  <c r="F40" i="1"/>
  <c r="E38" i="1"/>
  <c r="F38" i="1"/>
  <c r="G38" i="1"/>
  <c r="K38" i="1"/>
  <c r="E34" i="1"/>
  <c r="F34" i="1"/>
  <c r="G34" i="1"/>
  <c r="K34" i="1"/>
  <c r="E26" i="1"/>
  <c r="F26" i="1"/>
  <c r="G42" i="1"/>
  <c r="K42" i="1"/>
  <c r="P43" i="1"/>
  <c r="S43" i="1" s="1"/>
  <c r="T15" i="1"/>
  <c r="T5" i="1"/>
  <c r="T2" i="1"/>
  <c r="T12" i="1"/>
  <c r="T4" i="1"/>
  <c r="P35" i="1"/>
  <c r="S35" i="1"/>
  <c r="E28" i="1"/>
  <c r="T13" i="1"/>
  <c r="T19" i="1"/>
  <c r="T11" i="1"/>
  <c r="T3" i="1"/>
  <c r="P33" i="1"/>
  <c r="E35" i="1"/>
  <c r="F35" i="1"/>
  <c r="E24" i="1"/>
  <c r="F24" i="1"/>
  <c r="P24" i="1"/>
  <c r="S24" i="1"/>
  <c r="E42" i="1"/>
  <c r="F42" i="1"/>
  <c r="E43" i="1"/>
  <c r="F43" i="1"/>
  <c r="G43" i="1"/>
  <c r="K43" i="1"/>
  <c r="G33" i="1"/>
  <c r="J33" i="1"/>
  <c r="E31" i="1"/>
  <c r="F31" i="1"/>
  <c r="G31" i="1"/>
  <c r="J31" i="1"/>
  <c r="G23" i="1"/>
  <c r="I23" i="1"/>
  <c r="P42" i="1"/>
  <c r="T17" i="1"/>
  <c r="T9" i="1"/>
  <c r="E21" i="1"/>
  <c r="F21" i="1"/>
  <c r="G21" i="1"/>
  <c r="H21" i="1"/>
  <c r="G29" i="1"/>
  <c r="J29" i="1"/>
  <c r="E27" i="1"/>
  <c r="F27" i="1"/>
  <c r="P27" i="1"/>
  <c r="E41" i="1"/>
  <c r="F41" i="1"/>
  <c r="P41" i="1"/>
  <c r="S41" i="1" s="1"/>
  <c r="E39" i="1"/>
  <c r="F39" i="1"/>
  <c r="P39" i="1"/>
  <c r="E36" i="1"/>
  <c r="E30" i="1"/>
  <c r="F30" i="1"/>
  <c r="P30" i="1"/>
  <c r="S39" i="1"/>
  <c r="S42" i="1"/>
  <c r="G39" i="1"/>
  <c r="K39" i="1"/>
  <c r="P32" i="1"/>
  <c r="S32" i="1"/>
  <c r="E14" i="2"/>
  <c r="F36" i="1"/>
  <c r="E24" i="2"/>
  <c r="F28" i="1"/>
  <c r="E16" i="2"/>
  <c r="P26" i="1"/>
  <c r="G26" i="1"/>
  <c r="K26" i="1"/>
  <c r="E26" i="2"/>
  <c r="G41" i="1"/>
  <c r="K41" i="1"/>
  <c r="G27" i="1"/>
  <c r="J27" i="1"/>
  <c r="E23" i="2"/>
  <c r="D16" i="1"/>
  <c r="D19" i="1" s="1"/>
  <c r="E13" i="2"/>
  <c r="S33" i="1"/>
  <c r="P40" i="1"/>
  <c r="S40" i="1" s="1"/>
  <c r="G40" i="1"/>
  <c r="K40" i="1"/>
  <c r="P34" i="1"/>
  <c r="S34" i="1" s="1"/>
  <c r="E12" i="2"/>
  <c r="E15" i="2"/>
  <c r="S31" i="1"/>
  <c r="G30" i="1"/>
  <c r="K30" i="1"/>
  <c r="P38" i="1"/>
  <c r="S38" i="1" s="1"/>
  <c r="P22" i="1"/>
  <c r="G22" i="1"/>
  <c r="G37" i="1"/>
  <c r="J37" i="1"/>
  <c r="P37" i="1"/>
  <c r="S37" i="1" s="1"/>
  <c r="S23" i="1"/>
  <c r="S30" i="1"/>
  <c r="K22" i="1"/>
  <c r="S27" i="1"/>
  <c r="S22" i="1"/>
  <c r="P36" i="1"/>
  <c r="G36" i="1"/>
  <c r="K36" i="1"/>
  <c r="S26" i="1"/>
  <c r="P28" i="1"/>
  <c r="S28" i="1" s="1"/>
  <c r="D15" i="1"/>
  <c r="C19" i="1" s="1"/>
  <c r="G28" i="1"/>
  <c r="S36" i="1"/>
  <c r="J28" i="1"/>
  <c r="C11" i="1"/>
  <c r="C12" i="1"/>
  <c r="C16" i="1" l="1"/>
  <c r="D18" i="1" s="1"/>
  <c r="O22" i="1"/>
  <c r="O21" i="1"/>
  <c r="O43" i="1"/>
  <c r="O33" i="1"/>
  <c r="O37" i="1"/>
  <c r="O41" i="1"/>
  <c r="O30" i="1"/>
  <c r="O42" i="1"/>
  <c r="O39" i="1"/>
  <c r="O36" i="1"/>
  <c r="O40" i="1"/>
  <c r="O32" i="1"/>
  <c r="O38" i="1"/>
  <c r="O34" i="1"/>
  <c r="O31" i="1"/>
  <c r="O27" i="1"/>
  <c r="O25" i="1"/>
  <c r="O35" i="1"/>
  <c r="O29" i="1"/>
  <c r="C15" i="1"/>
  <c r="O28" i="1"/>
  <c r="O23" i="1"/>
  <c r="O26" i="1"/>
  <c r="O24" i="1"/>
  <c r="E14" i="1"/>
  <c r="C18" i="1" l="1"/>
  <c r="F18" i="1"/>
  <c r="F19" i="1" s="1"/>
</calcChain>
</file>

<file path=xl/sharedStrings.xml><?xml version="1.0" encoding="utf-8"?>
<sst xmlns="http://schemas.openxmlformats.org/spreadsheetml/2006/main" count="265" uniqueCount="169">
  <si>
    <t>IBVS 6244</t>
  </si>
  <si>
    <t>Linear Ephemeris =</t>
  </si>
  <si>
    <t>Quad. Ephemeris =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</si>
  <si>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</si>
  <si>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</si>
  <si>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</si>
  <si>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</si>
  <si>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</si>
  <si>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</si>
  <si>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</si>
  <si>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</si>
  <si>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</si>
  <si>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</si>
  <si>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</si>
  <si>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</si>
  <si>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</si>
  <si>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</si>
  <si>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</si>
  <si>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</si>
  <si>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</si>
  <si>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</si>
  <si>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</si>
  <si>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</si>
  <si>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</si>
  <si>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</si>
  <si>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</si>
  <si>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</si>
  <si>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</si>
  <si>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</si>
  <si>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</si>
  <si>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</si>
  <si>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5287</t>
  </si>
  <si>
    <t>I</t>
  </si>
  <si>
    <t>IBVS 4888</t>
  </si>
  <si>
    <t>Upper 95.0%</t>
  </si>
  <si>
    <t>ROTSE</t>
  </si>
  <si>
    <t>IBVS 5583</t>
  </si>
  <si>
    <t>IBVS 5592</t>
  </si>
  <si>
    <t>EB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</si>
  <si>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</si>
  <si>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</si>
  <si>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</si>
  <si>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</si>
  <si>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</si>
  <si>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</si>
  <si>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</si>
  <si>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</si>
  <si>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</si>
  <si>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5894</t>
  </si>
  <si>
    <t>Q.fit</t>
  </si>
  <si>
    <t>IBVS 5918</t>
  </si>
  <si>
    <t>II</t>
  </si>
  <si>
    <t>IBVS 5959</t>
  </si>
  <si>
    <t>IBVS 5992</t>
  </si>
  <si>
    <t>IBVS 6010</t>
  </si>
  <si>
    <t>IBVS 6029</t>
  </si>
  <si>
    <t>CN Com / GSC 1445-1539</t>
  </si>
  <si>
    <t>IBVS 6063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</si>
  <si>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</si>
  <si>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</si>
  <si>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</si>
  <si>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</si>
  <si>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</si>
  <si>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</si>
  <si>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</si>
  <si>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</si>
  <si>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</si>
  <si>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</si>
  <si>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</si>
  <si>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</si>
  <si>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2450895.4597 </t>
  </si>
  <si>
    <t> 22.03.1998 23:01 </t>
  </si>
  <si>
    <t> 0.0513 </t>
  </si>
  <si>
    <t>E </t>
  </si>
  <si>
    <t>?</t>
  </si>
  <si>
    <t> J.Safar </t>
  </si>
  <si>
    <t>IBVS 4888 </t>
  </si>
  <si>
    <t>2451657.3741 </t>
  </si>
  <si>
    <t> 22.04.2000 20:58 </t>
  </si>
  <si>
    <t> 0.0499 </t>
  </si>
  <si>
    <t> M.Zejda </t>
  </si>
  <si>
    <t>IBVS 5287 </t>
  </si>
  <si>
    <t>2451965.5280 </t>
  </si>
  <si>
    <t> 25.02.2001 00:40 </t>
  </si>
  <si>
    <t> 0.0544 </t>
  </si>
  <si>
    <t>IBVS 5583 </t>
  </si>
  <si>
    <t>2453164.2941 </t>
  </si>
  <si>
    <t> 07.06.2004 19:03 </t>
  </si>
  <si>
    <t> 0.0533 </t>
  </si>
  <si>
    <t> T.Krajci </t>
  </si>
  <si>
    <t>IBVS 5592 </t>
  </si>
  <si>
    <t>2453844.579 </t>
  </si>
  <si>
    <t> 19.04.2006 01:53 </t>
  </si>
  <si>
    <t> 0.056 </t>
  </si>
  <si>
    <t> R.Diethelm </t>
  </si>
  <si>
    <t>IBVS 5713 </t>
  </si>
  <si>
    <t>2454175.5299 </t>
  </si>
  <si>
    <t> 16.03.2007 00:43 </t>
  </si>
  <si>
    <t> 0.0591 </t>
  </si>
  <si>
    <t>C </t>
  </si>
  <si>
    <t>-I</t>
  </si>
  <si>
    <t> F.Agerer </t>
  </si>
  <si>
    <t>BAVM 186 </t>
  </si>
  <si>
    <t>2454200.5349 </t>
  </si>
  <si>
    <t> 10.04.2007 00:50 </t>
  </si>
  <si>
    <t>22479</t>
  </si>
  <si>
    <t> P.Frank </t>
  </si>
  <si>
    <t>2454888.9114 </t>
  </si>
  <si>
    <t> 26.02.2009 09:52 </t>
  </si>
  <si>
    <t>23415</t>
  </si>
  <si>
    <t> 0.0638 </t>
  </si>
  <si>
    <t>IBVS 5894 </t>
  </si>
  <si>
    <t>2454941.4910 </t>
  </si>
  <si>
    <t> 19.04.2009 23:47 </t>
  </si>
  <si>
    <t>23486.5</t>
  </si>
  <si>
    <t> 0.0594 </t>
  </si>
  <si>
    <t>BAVM 209 </t>
  </si>
  <si>
    <t>2454976.4239 </t>
  </si>
  <si>
    <t> 24.05.2009 22:10 </t>
  </si>
  <si>
    <t>23534</t>
  </si>
  <si>
    <t> 0.0589 </t>
  </si>
  <si>
    <t>o</t>
  </si>
  <si>
    <t> H.Jungbluth </t>
  </si>
  <si>
    <t>2455293.3996 </t>
  </si>
  <si>
    <t> 06.04.2010 21:35 </t>
  </si>
  <si>
    <t>23965</t>
  </si>
  <si>
    <t> 0.0600 </t>
  </si>
  <si>
    <t> W.Moschner &amp; P.Frank </t>
  </si>
  <si>
    <t>BAVM 214 </t>
  </si>
  <si>
    <t>2455622.8757 </t>
  </si>
  <si>
    <t> 02.03.2011 09:01 </t>
  </si>
  <si>
    <t>24413</t>
  </si>
  <si>
    <t> 0.0590 </t>
  </si>
  <si>
    <t>IBVS 5992 </t>
  </si>
  <si>
    <t>2455646.4118 </t>
  </si>
  <si>
    <t> 25.03.2011 21:52 </t>
  </si>
  <si>
    <t>24445</t>
  </si>
  <si>
    <t> 0.0610 </t>
  </si>
  <si>
    <t> U.Schmidt </t>
  </si>
  <si>
    <t>BAVM 220 </t>
  </si>
  <si>
    <t>2455986.9213 </t>
  </si>
  <si>
    <t> 29.02.2012 10:06 </t>
  </si>
  <si>
    <t>24908</t>
  </si>
  <si>
    <t> 0.0618 </t>
  </si>
  <si>
    <t>IBVS 6029 </t>
  </si>
  <si>
    <t>2456013.3969 </t>
  </si>
  <si>
    <t> 26.03.2012 21:31 </t>
  </si>
  <si>
    <t>24944</t>
  </si>
  <si>
    <t> 0.0615 </t>
  </si>
  <si>
    <t>BAVM 234 </t>
  </si>
  <si>
    <t>2456034.7230 </t>
  </si>
  <si>
    <t> 17.04.2012 05:21 </t>
  </si>
  <si>
    <t>24973</t>
  </si>
  <si>
    <t> 0.0599 </t>
  </si>
  <si>
    <t>2456353.9033 </t>
  </si>
  <si>
    <t> 02.03.2013 09:40 </t>
  </si>
  <si>
    <t>25407</t>
  </si>
  <si>
    <t> 0.0592 </t>
  </si>
  <si>
    <t>B</t>
  </si>
  <si>
    <t>IBVS 6063 </t>
  </si>
  <si>
    <t>2456353.9044 </t>
  </si>
  <si>
    <t> 02.03.2013 09:42 </t>
  </si>
  <si>
    <t> 0.0603 </t>
  </si>
  <si>
    <t>2456353.9052 </t>
  </si>
  <si>
    <t> 02.03.2013 09:43 </t>
  </si>
  <si>
    <t> 0.0611 </t>
  </si>
  <si>
    <t>R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</si>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</sst>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ill="1" applyBorder="1" applyAlignment="1"/>
    <xf numFmtId="0" fontId="0" fillId="0" borderId="9" xfId="0" applyFill="1" applyBorder="1" applyAlignment="1"/>
    <xf numFmtId="0" fontId="11" fillId="0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10" fillId="0" borderId="0" xfId="0" applyFont="1" applyAlignment="1"/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0" xfId="0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24" borderId="20" xfId="38" applyFill="1" applyBorder="1" applyAlignment="1" applyProtection="1">
      <alignment horizontal="right" vertical="top" wrapText="1"/>
    </xf>
    <xf numFmtId="0" fontId="0" fillId="0" borderId="0" xfId="0" applyBorder="1" applyAlignment="1">
      <alignment horizontal="center"/>
    </xf>
    <xf numFmtId="0" fontId="0" fillId="0" borderId="0" xfId="0" applyNumberFormat="1" applyAlignment="1"/>
    <xf numFmtId="0" fontId="0" fillId="0" borderId="21" xfId="0" applyNumberFormat="1" applyBorder="1" applyAlignment="1"/>
    <xf numFmtId="0" fontId="17" fillId="0" borderId="0" xfId="0" applyNumberFormat="1" applyFont="1">
      <alignment vertical="top"/>
    </xf>
    <xf numFmtId="0" fontId="10" fillId="0" borderId="0" xfId="0" applyNumberFormat="1" applyFont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10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1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wrapText="1"/>
    </xf>
    <xf numFmtId="0" fontId="9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5" fillId="0" borderId="0" xfId="43" applyFont="1" applyAlignment="1">
      <alignment horizont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Com - O-C Diagr.</a:t>
            </a:r>
          </a:p>
        </c:rich>
      </c:tx>
      <c:layout>
        <c:manualLayout>
          <c:xMode val="edge"/>
          <c:yMode val="edge"/>
          <c:x val="0.363481586985927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7077359312805"/>
          <c:y val="0.1458966565349544"/>
          <c:w val="0.7969289916817137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5-4BF6-B356-7417D4DB1C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5.2120000000286382E-2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5-4BF6-B356-7417D4DB1C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">
                  <c:v>5.6199999999080319E-2</c:v>
                </c:pt>
                <c:pt idx="7">
                  <c:v>5.9100000005855691E-2</c:v>
                </c:pt>
                <c:pt idx="8">
                  <c:v>5.9139999997569248E-2</c:v>
                </c:pt>
                <c:pt idx="10">
                  <c:v>5.9440000004542526E-2</c:v>
                </c:pt>
                <c:pt idx="11">
                  <c:v>5.8940000009897631E-2</c:v>
                </c:pt>
                <c:pt idx="12">
                  <c:v>6.0000000004947651E-2</c:v>
                </c:pt>
                <c:pt idx="14">
                  <c:v>6.1000000001513399E-2</c:v>
                </c:pt>
                <c:pt idx="16">
                  <c:v>6.1540000002423767E-2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5-4BF6-B356-7417D4DB1C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5.1299999999173451E-2</c:v>
                </c:pt>
                <c:pt idx="3">
                  <c:v>4.9860000006447081E-2</c:v>
                </c:pt>
                <c:pt idx="4">
                  <c:v>5.4400000000896398E-2</c:v>
                </c:pt>
                <c:pt idx="5">
                  <c:v>5.3299999999580905E-2</c:v>
                </c:pt>
                <c:pt idx="9">
                  <c:v>6.3800000003539026E-2</c:v>
                </c:pt>
                <c:pt idx="13">
                  <c:v>5.8980000001611188E-2</c:v>
                </c:pt>
                <c:pt idx="15">
                  <c:v>6.1780000003636815E-2</c:v>
                </c:pt>
                <c:pt idx="17">
                  <c:v>5.9880000000703149E-2</c:v>
                </c:pt>
                <c:pt idx="18">
                  <c:v>5.9310000004188623E-2</c:v>
                </c:pt>
                <c:pt idx="19">
                  <c:v>6.0340000003634486E-2</c:v>
                </c:pt>
                <c:pt idx="20">
                  <c:v>6.1180000004242174E-2</c:v>
                </c:pt>
                <c:pt idx="21">
                  <c:v>6.3120000006165355E-2</c:v>
                </c:pt>
                <c:pt idx="22">
                  <c:v>6.2020000004849862E-2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5-4BF6-B356-7417D4DB1C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75-4BF6-B356-7417D4DB1C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75-4BF6-B356-7417D4DB1C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75-4BF6-B356-7417D4DB1C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2.7279091019533859E-2</c:v>
                </c:pt>
                <c:pt idx="1">
                  <c:v>5.1438400649692982E-2</c:v>
                </c:pt>
                <c:pt idx="2">
                  <c:v>5.2132888449459028E-2</c:v>
                </c:pt>
                <c:pt idx="3">
                  <c:v>5.2830062855800566E-2</c:v>
                </c:pt>
                <c:pt idx="4">
                  <c:v>5.3392906933367235E-2</c:v>
                </c:pt>
                <c:pt idx="5">
                  <c:v>5.5582491292397507E-2</c:v>
                </c:pt>
                <c:pt idx="6">
                  <c:v>5.6825046833564992E-2</c:v>
                </c:pt>
                <c:pt idx="7">
                  <c:v>5.7429533313051874E-2</c:v>
                </c:pt>
                <c:pt idx="8">
                  <c:v>5.7475205624835324E-2</c:v>
                </c:pt>
                <c:pt idx="9">
                  <c:v>5.8732537502168045E-2</c:v>
                </c:pt>
                <c:pt idx="10">
                  <c:v>5.8828583687242073E-2</c:v>
                </c:pt>
                <c:pt idx="11">
                  <c:v>5.8892390593410136E-2</c:v>
                </c:pt>
                <c:pt idx="12">
                  <c:v>5.947135431042979E-2</c:v>
                </c:pt>
                <c:pt idx="13">
                  <c:v>6.0073154183341179E-2</c:v>
                </c:pt>
                <c:pt idx="14">
                  <c:v>6.0116139888549136E-2</c:v>
                </c:pt>
                <c:pt idx="15">
                  <c:v>6.0738089310776754E-2</c:v>
                </c:pt>
                <c:pt idx="16">
                  <c:v>6.0786448229135703E-2</c:v>
                </c:pt>
                <c:pt idx="17">
                  <c:v>6.082540402448041E-2</c:v>
                </c:pt>
                <c:pt idx="18">
                  <c:v>6.1408397651363321E-2</c:v>
                </c:pt>
                <c:pt idx="19">
                  <c:v>6.1408397651363321E-2</c:v>
                </c:pt>
                <c:pt idx="20">
                  <c:v>6.1408397651363321E-2</c:v>
                </c:pt>
                <c:pt idx="21">
                  <c:v>6.2832299136376862E-2</c:v>
                </c:pt>
                <c:pt idx="22">
                  <c:v>6.4121870292615554E-2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75-4BF6-B356-7417D4DB1CD1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Active!$S$2:$S$19</c:f>
              <c:numCache>
                <c:formatCode>General</c:formatCode>
                <c:ptCount val="18"/>
                <c:pt idx="0">
                  <c:v>17000</c:v>
                </c:pt>
                <c:pt idx="1">
                  <c:v>17500</c:v>
                </c:pt>
                <c:pt idx="2">
                  <c:v>18000</c:v>
                </c:pt>
                <c:pt idx="3">
                  <c:v>18500</c:v>
                </c:pt>
                <c:pt idx="4">
                  <c:v>19000</c:v>
                </c:pt>
                <c:pt idx="5">
                  <c:v>19500</c:v>
                </c:pt>
                <c:pt idx="6">
                  <c:v>20000</c:v>
                </c:pt>
                <c:pt idx="7">
                  <c:v>20500</c:v>
                </c:pt>
                <c:pt idx="8">
                  <c:v>21000</c:v>
                </c:pt>
                <c:pt idx="9">
                  <c:v>21500</c:v>
                </c:pt>
                <c:pt idx="10">
                  <c:v>22000</c:v>
                </c:pt>
                <c:pt idx="11">
                  <c:v>22500</c:v>
                </c:pt>
                <c:pt idx="12">
                  <c:v>23000</c:v>
                </c:pt>
                <c:pt idx="13">
                  <c:v>23500</c:v>
                </c:pt>
                <c:pt idx="14">
                  <c:v>24000</c:v>
                </c:pt>
                <c:pt idx="15">
                  <c:v>24500</c:v>
                </c:pt>
                <c:pt idx="16">
                  <c:v>25000</c:v>
                </c:pt>
                <c:pt idx="17">
                  <c:v>25500</c:v>
                </c:pt>
              </c:numCache>
            </c:numRef>
          </c:xVal>
          <c:yVal>
            <c:numRef>
              <c:f>Active!$T$2:$T$19</c:f>
              <c:numCache>
                <c:formatCode>General</c:formatCode>
                <c:ptCount val="18"/>
                <c:pt idx="0">
                  <c:v>4.7467287215610929E-2</c:v>
                </c:pt>
                <c:pt idx="1">
                  <c:v>4.8606773098156232E-2</c:v>
                </c:pt>
                <c:pt idx="2">
                  <c:v>4.973161820363893E-2</c:v>
                </c:pt>
                <c:pt idx="3">
                  <c:v>5.0841822532059024E-2</c:v>
                </c:pt>
                <c:pt idx="4">
                  <c:v>5.1937386083416512E-2</c:v>
                </c:pt>
                <c:pt idx="5">
                  <c:v>5.3018308857711395E-2</c:v>
                </c:pt>
                <c:pt idx="6">
                  <c:v>5.4084590854943659E-2</c:v>
                </c:pt>
                <c:pt idx="7">
                  <c:v>5.5136232075113326E-2</c:v>
                </c:pt>
                <c:pt idx="8">
                  <c:v>5.6173232518220373E-2</c:v>
                </c:pt>
                <c:pt idx="9">
                  <c:v>5.7195592184264829E-2</c:v>
                </c:pt>
                <c:pt idx="10">
                  <c:v>5.8203311073246659E-2</c:v>
                </c:pt>
                <c:pt idx="11">
                  <c:v>5.9196389185165899E-2</c:v>
                </c:pt>
                <c:pt idx="12">
                  <c:v>6.0174826520022519E-2</c:v>
                </c:pt>
                <c:pt idx="13">
                  <c:v>6.1138623077816541E-2</c:v>
                </c:pt>
                <c:pt idx="14">
                  <c:v>6.2087778858547944E-2</c:v>
                </c:pt>
                <c:pt idx="15">
                  <c:v>6.3022293862216749E-2</c:v>
                </c:pt>
                <c:pt idx="16">
                  <c:v>6.3942168088822943E-2</c:v>
                </c:pt>
                <c:pt idx="17">
                  <c:v>6.4847401538366531E-2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75-4BF6-B356-7417D4DB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15704"/>
        <c:axId val="1"/>
      </c:scatterChart>
      <c:valAx>
        <c:axId val="43111570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9762794155851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1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773122642946"/>
          <c:y val="0.92097264437689974"/>
          <c:w val="0.807167952128850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Com - O-C Diagr.</a:t>
            </a:r>
          </a:p>
        </c:rich>
      </c:tx>
      <c:layout>
        <c:manualLayout>
          <c:xMode val="edge"/>
          <c:yMode val="edge"/>
          <c:x val="0.336082474226804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545497589659059"/>
          <c:w val="0.7711340206185567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0-443C-A815-D6E49068C5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5.2120000000286382E-2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43C-A815-D6E49068C5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">
                  <c:v>5.6199999999080319E-2</c:v>
                </c:pt>
                <c:pt idx="7">
                  <c:v>5.9100000005855691E-2</c:v>
                </c:pt>
                <c:pt idx="8">
                  <c:v>5.9139999997569248E-2</c:v>
                </c:pt>
                <c:pt idx="10">
                  <c:v>5.9440000004542526E-2</c:v>
                </c:pt>
                <c:pt idx="11">
                  <c:v>5.8940000009897631E-2</c:v>
                </c:pt>
                <c:pt idx="12">
                  <c:v>6.0000000004947651E-2</c:v>
                </c:pt>
                <c:pt idx="14">
                  <c:v>6.1000000001513399E-2</c:v>
                </c:pt>
                <c:pt idx="16">
                  <c:v>6.1540000002423767E-2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0-443C-A815-D6E49068C5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5.1299999999173451E-2</c:v>
                </c:pt>
                <c:pt idx="3">
                  <c:v>4.9860000006447081E-2</c:v>
                </c:pt>
                <c:pt idx="4">
                  <c:v>5.4400000000896398E-2</c:v>
                </c:pt>
                <c:pt idx="5">
                  <c:v>5.3299999999580905E-2</c:v>
                </c:pt>
                <c:pt idx="9">
                  <c:v>6.3800000003539026E-2</c:v>
                </c:pt>
                <c:pt idx="13">
                  <c:v>5.8980000001611188E-2</c:v>
                </c:pt>
                <c:pt idx="15">
                  <c:v>6.1780000003636815E-2</c:v>
                </c:pt>
                <c:pt idx="17">
                  <c:v>5.9880000000703149E-2</c:v>
                </c:pt>
                <c:pt idx="18">
                  <c:v>5.9310000004188623E-2</c:v>
                </c:pt>
                <c:pt idx="19">
                  <c:v>6.0340000003634486E-2</c:v>
                </c:pt>
                <c:pt idx="20">
                  <c:v>6.1180000004242174E-2</c:v>
                </c:pt>
                <c:pt idx="21">
                  <c:v>6.3120000006165355E-2</c:v>
                </c:pt>
                <c:pt idx="22">
                  <c:v>6.2020000004849862E-2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0-443C-A815-D6E49068C5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0-443C-A815-D6E49068C5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0-443C-A815-D6E49068C5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3">
                    <c:v>1.8E-3</c:v>
                  </c:pt>
                  <c:pt idx="4">
                    <c:v>4.7000000000000002E-3</c:v>
                  </c:pt>
                  <c:pt idx="5">
                    <c:v>5.9999999999999995E-4</c:v>
                  </c:pt>
                  <c:pt idx="6">
                    <c:v>1E-3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2.5000000000000001E-3</c:v>
                  </c:pt>
                  <c:pt idx="11">
                    <c:v>1E-3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1.2E-4</c:v>
                  </c:pt>
                  <c:pt idx="19">
                    <c:v>1E-4</c:v>
                  </c:pt>
                  <c:pt idx="20">
                    <c:v>1.7000000000000001E-4</c:v>
                  </c:pt>
                  <c:pt idx="21">
                    <c:v>3.2000000000000002E-3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0-443C-A815-D6E49068C5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17985</c:v>
                </c:pt>
                <c:pt idx="2">
                  <c:v>18502</c:v>
                </c:pt>
                <c:pt idx="3">
                  <c:v>19021</c:v>
                </c:pt>
                <c:pt idx="4">
                  <c:v>19440</c:v>
                </c:pt>
                <c:pt idx="5">
                  <c:v>21070</c:v>
                </c:pt>
                <c:pt idx="6">
                  <c:v>21995</c:v>
                </c:pt>
                <c:pt idx="7">
                  <c:v>22445</c:v>
                </c:pt>
                <c:pt idx="8">
                  <c:v>22479</c:v>
                </c:pt>
                <c:pt idx="9">
                  <c:v>23415</c:v>
                </c:pt>
                <c:pt idx="10">
                  <c:v>23486.5</c:v>
                </c:pt>
                <c:pt idx="11">
                  <c:v>23534</c:v>
                </c:pt>
                <c:pt idx="12">
                  <c:v>23965</c:v>
                </c:pt>
                <c:pt idx="13">
                  <c:v>24413</c:v>
                </c:pt>
                <c:pt idx="14">
                  <c:v>24445</c:v>
                </c:pt>
                <c:pt idx="15">
                  <c:v>24908</c:v>
                </c:pt>
                <c:pt idx="16">
                  <c:v>24944</c:v>
                </c:pt>
                <c:pt idx="17">
                  <c:v>24973</c:v>
                </c:pt>
                <c:pt idx="18">
                  <c:v>25407</c:v>
                </c:pt>
                <c:pt idx="19">
                  <c:v>25407</c:v>
                </c:pt>
                <c:pt idx="20">
                  <c:v>25407</c:v>
                </c:pt>
                <c:pt idx="21">
                  <c:v>26467</c:v>
                </c:pt>
                <c:pt idx="22">
                  <c:v>27427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2.7279091019533859E-2</c:v>
                </c:pt>
                <c:pt idx="1">
                  <c:v>5.1438400649692982E-2</c:v>
                </c:pt>
                <c:pt idx="2">
                  <c:v>5.2132888449459028E-2</c:v>
                </c:pt>
                <c:pt idx="3">
                  <c:v>5.2830062855800566E-2</c:v>
                </c:pt>
                <c:pt idx="4">
                  <c:v>5.3392906933367235E-2</c:v>
                </c:pt>
                <c:pt idx="5">
                  <c:v>5.5582491292397507E-2</c:v>
                </c:pt>
                <c:pt idx="6">
                  <c:v>5.6825046833564992E-2</c:v>
                </c:pt>
                <c:pt idx="7">
                  <c:v>5.7429533313051874E-2</c:v>
                </c:pt>
                <c:pt idx="8">
                  <c:v>5.7475205624835324E-2</c:v>
                </c:pt>
                <c:pt idx="9">
                  <c:v>5.8732537502168045E-2</c:v>
                </c:pt>
                <c:pt idx="10">
                  <c:v>5.8828583687242073E-2</c:v>
                </c:pt>
                <c:pt idx="11">
                  <c:v>5.8892390593410136E-2</c:v>
                </c:pt>
                <c:pt idx="12">
                  <c:v>5.947135431042979E-2</c:v>
                </c:pt>
                <c:pt idx="13">
                  <c:v>6.0073154183341179E-2</c:v>
                </c:pt>
                <c:pt idx="14">
                  <c:v>6.0116139888549136E-2</c:v>
                </c:pt>
                <c:pt idx="15">
                  <c:v>6.0738089310776754E-2</c:v>
                </c:pt>
                <c:pt idx="16">
                  <c:v>6.0786448229135703E-2</c:v>
                </c:pt>
                <c:pt idx="17">
                  <c:v>6.082540402448041E-2</c:v>
                </c:pt>
                <c:pt idx="18">
                  <c:v>6.1408397651363321E-2</c:v>
                </c:pt>
                <c:pt idx="19">
                  <c:v>6.1408397651363321E-2</c:v>
                </c:pt>
                <c:pt idx="20">
                  <c:v>6.1408397651363321E-2</c:v>
                </c:pt>
                <c:pt idx="21">
                  <c:v>6.2832299136376862E-2</c:v>
                </c:pt>
                <c:pt idx="22">
                  <c:v>6.4121870292615554E-2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0-443C-A815-D6E49068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35472"/>
        <c:axId val="1"/>
      </c:scatterChart>
      <c:valAx>
        <c:axId val="70353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53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77319587628866"/>
          <c:y val="0.92121498449057504"/>
          <c:w val="0.8618556701030928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409575</xdr:colOff>
      <xdr:row>17</xdr:row>
      <xdr:rowOff>133351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141EB3-2BA3-2D1A-4CE4-14844AF74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19050</xdr:rowOff>
    </xdr:from>
    <xdr:to>
      <xdr:col>27</xdr:col>
      <xdr:colOff>238125</xdr:colOff>
      <xdr:row>17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2D820FC-DF6B-8F34-4078-9FDB26236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6"/>
  <sheetViews>
    <sheetView tabSelected="1" workbookViewId="0">
      <selection activeCell="F32" sqref="F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59" customWidth="1"/>
    <col min="4" max="4" width="9.42578125" customWidth="1"/>
    <col min="5" max="5" width="9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7" ht="21" thickBot="1">
      <c r="A1" s="1" t="s">
        <v>56</v>
      </c>
      <c r="S1" s="5" t="s">
        <v>13</v>
      </c>
      <c r="T1" s="5" t="s">
        <v>49</v>
      </c>
      <c r="U1" s="38"/>
      <c r="V1" s="38"/>
      <c r="W1" s="38"/>
      <c r="X1" s="38"/>
      <c r="Y1" s="38"/>
      <c r="Z1" s="38"/>
    </row>
    <row r="2" spans="1:27">
      <c r="A2" t="s">
        <v>27</v>
      </c>
      <c r="B2" s="15" t="s">
        <v>38</v>
      </c>
      <c r="S2" s="38">
        <v>17000</v>
      </c>
      <c r="T2" s="38">
        <f>D$11+D$12*S2+D$13*S2^2</f>
        <v>4.7467287215610929E-2</v>
      </c>
      <c r="U2" s="38"/>
      <c r="V2" s="38"/>
      <c r="W2" s="38"/>
      <c r="X2" s="38"/>
      <c r="Y2" s="38"/>
      <c r="Z2" s="38"/>
    </row>
    <row r="3" spans="1:27" ht="13.5" thickBot="1">
      <c r="S3" s="40">
        <v>17500</v>
      </c>
      <c r="T3" s="38">
        <f t="shared" ref="T3:T19" si="0">D$11+D$12*S3+D$13*S3^2</f>
        <v>4.8606773098156232E-2</v>
      </c>
      <c r="U3" s="38"/>
      <c r="V3" s="38"/>
      <c r="W3" s="38"/>
      <c r="X3" s="38"/>
      <c r="Y3" s="38"/>
      <c r="Z3" s="38"/>
    </row>
    <row r="4" spans="1:27" ht="14.25" thickTop="1" thickBot="1">
      <c r="A4" s="6" t="s">
        <v>4</v>
      </c>
      <c r="C4" s="60">
        <v>37668.519999999997</v>
      </c>
      <c r="D4" s="3">
        <v>0.73543999999999998</v>
      </c>
      <c r="S4" s="38">
        <v>18000</v>
      </c>
      <c r="T4" s="38">
        <f t="shared" si="0"/>
        <v>4.973161820363893E-2</v>
      </c>
      <c r="U4" s="38"/>
      <c r="V4" s="38"/>
      <c r="W4" s="38"/>
      <c r="X4" s="38"/>
      <c r="Y4" s="38"/>
      <c r="Z4" s="38"/>
    </row>
    <row r="5" spans="1:27" ht="13.5" thickTop="1">
      <c r="A5" s="22" t="s">
        <v>41</v>
      </c>
      <c r="B5" s="23"/>
      <c r="C5" s="61">
        <v>-9.5</v>
      </c>
      <c r="D5" s="23" t="s">
        <v>42</v>
      </c>
      <c r="S5" s="40">
        <v>18500</v>
      </c>
      <c r="T5" s="38">
        <f t="shared" si="0"/>
        <v>5.0841822532059024E-2</v>
      </c>
      <c r="U5" s="38"/>
      <c r="V5" s="38"/>
      <c r="W5" s="38"/>
      <c r="X5" s="38"/>
      <c r="Y5" s="38"/>
      <c r="Z5" s="38"/>
    </row>
    <row r="6" spans="1:27">
      <c r="A6" s="6" t="s">
        <v>5</v>
      </c>
      <c r="S6" s="38">
        <v>19000</v>
      </c>
      <c r="T6" s="38">
        <f t="shared" si="0"/>
        <v>5.1937386083416512E-2</v>
      </c>
      <c r="U6" s="38"/>
      <c r="V6" s="38"/>
      <c r="W6" s="38"/>
      <c r="X6" s="38"/>
      <c r="Y6" s="38"/>
      <c r="Z6" s="38"/>
    </row>
    <row r="7" spans="1:27">
      <c r="A7" t="s">
        <v>6</v>
      </c>
      <c r="C7" s="59">
        <f>+C4</f>
        <v>37668.519999999997</v>
      </c>
      <c r="S7" s="40">
        <v>19500</v>
      </c>
      <c r="T7" s="38">
        <f t="shared" si="0"/>
        <v>5.3018308857711395E-2</v>
      </c>
      <c r="U7" s="38"/>
      <c r="V7" s="38"/>
      <c r="W7" s="38"/>
      <c r="X7" s="38"/>
      <c r="Y7" s="38"/>
      <c r="Z7" s="38"/>
    </row>
    <row r="8" spans="1:27">
      <c r="A8" t="s">
        <v>7</v>
      </c>
      <c r="C8" s="59">
        <f>+D4</f>
        <v>0.73543999999999998</v>
      </c>
      <c r="S8" s="38">
        <v>20000</v>
      </c>
      <c r="T8" s="38">
        <f t="shared" si="0"/>
        <v>5.4084590854943659E-2</v>
      </c>
      <c r="U8" s="38"/>
      <c r="V8" s="38"/>
      <c r="W8" s="38"/>
      <c r="X8" s="38"/>
      <c r="Y8" s="38"/>
      <c r="Z8" s="38"/>
    </row>
    <row r="9" spans="1:27">
      <c r="A9" s="32" t="s">
        <v>47</v>
      </c>
      <c r="B9" s="33">
        <v>22</v>
      </c>
      <c r="C9" s="62" t="str">
        <f>"F"&amp;B9</f>
        <v>F22</v>
      </c>
      <c r="D9" s="31" t="str">
        <f>"G"&amp;B9</f>
        <v>G22</v>
      </c>
      <c r="S9" s="40">
        <v>20500</v>
      </c>
      <c r="T9" s="38">
        <f t="shared" si="0"/>
        <v>5.5136232075113326E-2</v>
      </c>
      <c r="U9" s="38"/>
      <c r="V9" s="38"/>
      <c r="W9" s="38"/>
      <c r="X9" s="38"/>
      <c r="Y9" s="38"/>
      <c r="Z9" s="38"/>
    </row>
    <row r="10" spans="1:27" ht="13.5" thickBot="1">
      <c r="A10" s="23"/>
      <c r="B10" s="23"/>
      <c r="C10" s="63" t="s">
        <v>23</v>
      </c>
      <c r="D10" s="5" t="s">
        <v>24</v>
      </c>
      <c r="E10" s="23"/>
      <c r="S10" s="38">
        <v>21000</v>
      </c>
      <c r="T10" s="38">
        <f t="shared" si="0"/>
        <v>5.6173232518220373E-2</v>
      </c>
      <c r="U10" s="38"/>
      <c r="V10" s="38"/>
      <c r="W10" s="38"/>
      <c r="X10" s="38"/>
      <c r="Y10" s="38"/>
      <c r="Z10" s="38"/>
    </row>
    <row r="11" spans="1:27">
      <c r="A11" s="23" t="s">
        <v>19</v>
      </c>
      <c r="B11" s="23"/>
      <c r="C11" s="64">
        <f ca="1">INTERCEPT(INDIRECT($D$9):G992,INDIRECT($C$9):F992)</f>
        <v>2.7279091019533859E-2</v>
      </c>
      <c r="D11" s="4">
        <f>E11*F11</f>
        <v>1.3504856819004381E-5</v>
      </c>
      <c r="E11" s="35">
        <v>1.3504856819004381</v>
      </c>
      <c r="F11">
        <v>1.0000000000000001E-5</v>
      </c>
      <c r="S11" s="40">
        <v>21500</v>
      </c>
      <c r="T11" s="38">
        <f t="shared" si="0"/>
        <v>5.7195592184264829E-2</v>
      </c>
      <c r="U11" s="39"/>
      <c r="V11" s="39"/>
      <c r="W11" s="39"/>
      <c r="X11" s="39"/>
      <c r="Y11" s="38"/>
      <c r="Z11" s="38"/>
    </row>
    <row r="12" spans="1:27">
      <c r="A12" s="23" t="s">
        <v>20</v>
      </c>
      <c r="B12" s="23"/>
      <c r="C12" s="64">
        <f ca="1">SLOPE(INDIRECT($D$9):G992,INDIRECT($C$9):F992)</f>
        <v>1.3433032877486307E-6</v>
      </c>
      <c r="D12" s="4">
        <f>E12*F12</f>
        <v>3.2891853824105339E-6</v>
      </c>
      <c r="E12" s="36">
        <v>32.89185382410534</v>
      </c>
      <c r="F12">
        <v>9.9999999999999995E-8</v>
      </c>
      <c r="S12" s="38">
        <v>22000</v>
      </c>
      <c r="T12" s="38">
        <f t="shared" si="0"/>
        <v>5.8203311073246659E-2</v>
      </c>
      <c r="U12" s="9"/>
      <c r="V12" s="9"/>
      <c r="W12" s="9"/>
      <c r="X12" s="9"/>
      <c r="Y12" s="38"/>
      <c r="Z12" s="38"/>
    </row>
    <row r="13" spans="1:27" ht="13.5" thickBot="1">
      <c r="A13" s="23" t="s">
        <v>22</v>
      </c>
      <c r="B13" s="23"/>
      <c r="C13" s="65" t="s">
        <v>17</v>
      </c>
      <c r="D13" s="4">
        <f>E13*F13</f>
        <v>-2.9281554125215053E-11</v>
      </c>
      <c r="E13" s="37">
        <v>-2.9281554125215052</v>
      </c>
      <c r="F13" s="34">
        <v>9.9999999999999994E-12</v>
      </c>
      <c r="S13" s="40">
        <v>22500</v>
      </c>
      <c r="T13" s="38">
        <f t="shared" si="0"/>
        <v>5.9196389185165899E-2</v>
      </c>
      <c r="U13" s="9"/>
      <c r="V13" s="9"/>
      <c r="W13" s="9"/>
      <c r="X13" s="9"/>
      <c r="Y13" s="38"/>
      <c r="Z13" s="38"/>
    </row>
    <row r="14" spans="1:27">
      <c r="A14" s="23"/>
      <c r="B14" s="23"/>
      <c r="C14" s="66"/>
      <c r="D14" s="23"/>
      <c r="E14" s="23">
        <f>SUM(S22:S30)</f>
        <v>3.2031524827926641E-5</v>
      </c>
      <c r="S14" s="38">
        <v>23000</v>
      </c>
      <c r="T14" s="38">
        <f t="shared" si="0"/>
        <v>6.0174826520022519E-2</v>
      </c>
      <c r="U14" s="9"/>
      <c r="V14" s="9"/>
      <c r="W14" s="9"/>
      <c r="X14" s="9"/>
      <c r="Y14" s="38"/>
      <c r="Z14" s="38"/>
    </row>
    <row r="15" spans="1:27" ht="13.5" thickBot="1">
      <c r="A15" s="25" t="s">
        <v>21</v>
      </c>
      <c r="B15" s="23"/>
      <c r="C15" s="67">
        <f ca="1">(C7+C11)+(C8+C12)*INT(MAX(F21:F3533))</f>
        <v>57839.497001870288</v>
      </c>
      <c r="D15" s="31">
        <f>+C7+INT(MAX(F21:F1588))*C8+D11+D12*INT(MAX(F21:F4023))+D13*INT(MAX(F21:F4050)^2)</f>
        <v>57839.501079226422</v>
      </c>
      <c r="E15" s="26" t="s">
        <v>167</v>
      </c>
      <c r="F15" s="24">
        <v>1</v>
      </c>
      <c r="S15" s="40">
        <v>23500</v>
      </c>
      <c r="T15" s="38">
        <f t="shared" si="0"/>
        <v>6.1138623077816541E-2</v>
      </c>
      <c r="U15" s="38"/>
      <c r="V15" s="38"/>
      <c r="W15" s="38"/>
      <c r="X15" s="38"/>
      <c r="Y15" s="38"/>
      <c r="Z15" s="38"/>
    </row>
    <row r="16" spans="1:27">
      <c r="A16" s="28" t="s">
        <v>8</v>
      </c>
      <c r="B16" s="23"/>
      <c r="C16" s="68">
        <f ca="1">+C8+C12</f>
        <v>0.7354413433032877</v>
      </c>
      <c r="D16" s="31">
        <f>+C8+D12+2*D13*MAX(F21:F896)</f>
        <v>0.73544168297501245</v>
      </c>
      <c r="E16" s="26" t="s">
        <v>43</v>
      </c>
      <c r="F16" s="27">
        <f ca="1">NOW()+15018.5+$C$5/24</f>
        <v>60339.635086921291</v>
      </c>
      <c r="S16" s="38">
        <v>24000</v>
      </c>
      <c r="T16" s="38">
        <f t="shared" si="0"/>
        <v>6.2087778858547944E-2</v>
      </c>
      <c r="U16" s="39"/>
      <c r="V16" s="39"/>
      <c r="W16" s="39"/>
      <c r="X16" s="39"/>
      <c r="Y16" s="39"/>
      <c r="Z16" s="39"/>
      <c r="AA16" s="11" t="s">
        <v>34</v>
      </c>
    </row>
    <row r="17" spans="1:27" ht="13.5" thickBot="1">
      <c r="A17" s="26" t="s">
        <v>39</v>
      </c>
      <c r="B17" s="23"/>
      <c r="C17" s="66">
        <f>COUNT(C21:C2191)</f>
        <v>23</v>
      </c>
      <c r="D17" s="26"/>
      <c r="E17" s="26" t="s">
        <v>168</v>
      </c>
      <c r="F17" s="27">
        <f ca="1">ROUND(2*(F16-$C$7)/$C$8,0)/2+F15</f>
        <v>30827.5</v>
      </c>
      <c r="S17" s="40">
        <v>24500</v>
      </c>
      <c r="T17" s="38">
        <f t="shared" si="0"/>
        <v>6.3022293862216749E-2</v>
      </c>
      <c r="U17" s="9"/>
      <c r="V17" s="9"/>
      <c r="W17" s="9"/>
      <c r="X17" s="9"/>
      <c r="Y17" s="9"/>
      <c r="Z17" s="9"/>
      <c r="AA17" s="9">
        <v>0.22421442129807095</v>
      </c>
    </row>
    <row r="18" spans="1:27" ht="14.25" thickTop="1" thickBot="1">
      <c r="A18" s="6" t="s">
        <v>1</v>
      </c>
      <c r="C18" s="86">
        <f ca="1">+C15</f>
        <v>57839.497001870288</v>
      </c>
      <c r="D18" s="87">
        <f ca="1">C16</f>
        <v>0.7354413433032877</v>
      </c>
      <c r="E18" s="26" t="s">
        <v>44</v>
      </c>
      <c r="F18" s="31">
        <f ca="1">ROUND(2*(F16-$C$15)/$C$16,0)/2+F15</f>
        <v>3400.5</v>
      </c>
      <c r="S18" s="38">
        <v>25000</v>
      </c>
      <c r="T18" s="38">
        <f t="shared" si="0"/>
        <v>6.3942168088822943E-2</v>
      </c>
      <c r="U18" s="9"/>
      <c r="V18" s="9"/>
      <c r="W18" s="9"/>
      <c r="X18" s="9"/>
      <c r="Y18" s="9"/>
      <c r="Z18" s="9"/>
      <c r="AA18" s="10">
        <v>1.048715157481704E-5</v>
      </c>
    </row>
    <row r="19" spans="1:27" ht="13.5" thickBot="1">
      <c r="A19" s="6" t="s">
        <v>2</v>
      </c>
      <c r="C19" s="88">
        <f>+D15</f>
        <v>57839.501079226422</v>
      </c>
      <c r="D19" s="89">
        <f>+D16</f>
        <v>0.73544168297501245</v>
      </c>
      <c r="E19" s="26" t="s">
        <v>45</v>
      </c>
      <c r="F19" s="29">
        <f ca="1">+$C$15+$C$16*F18-15018.5-$C$5/24</f>
        <v>45322.261123106451</v>
      </c>
      <c r="S19" s="40">
        <v>25500</v>
      </c>
      <c r="T19" s="38">
        <f t="shared" si="0"/>
        <v>6.4847401538366531E-2</v>
      </c>
      <c r="U19" s="38"/>
      <c r="V19" s="38"/>
      <c r="W19" s="38"/>
      <c r="X19" s="38"/>
      <c r="Y19" s="38"/>
      <c r="Z19" s="38"/>
    </row>
    <row r="20" spans="1:27" ht="13.5" thickBot="1">
      <c r="A20" s="5" t="s">
        <v>9</v>
      </c>
      <c r="B20" s="5" t="s">
        <v>10</v>
      </c>
      <c r="C20" s="63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66</v>
      </c>
      <c r="I20" s="8" t="s">
        <v>69</v>
      </c>
      <c r="J20" s="8" t="s">
        <v>63</v>
      </c>
      <c r="K20" s="8" t="s">
        <v>61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58"/>
      <c r="S20" s="38"/>
      <c r="T20" s="38"/>
      <c r="U20" s="38"/>
      <c r="V20" s="38"/>
      <c r="W20" s="38"/>
      <c r="X20" s="38"/>
      <c r="Y20" s="38"/>
      <c r="Z20" s="38"/>
    </row>
    <row r="21" spans="1:27">
      <c r="A21" t="s">
        <v>15</v>
      </c>
      <c r="B21" s="4"/>
      <c r="C21" s="69">
        <v>37668.519999999997</v>
      </c>
      <c r="D21" s="21" t="s">
        <v>17</v>
      </c>
      <c r="E21">
        <f t="shared" ref="E21:E41" si="1">+(C21-C$7)/C$8</f>
        <v>0</v>
      </c>
      <c r="F21">
        <f t="shared" ref="F21:F43" si="2">ROUND(2*E21,0)/2</f>
        <v>0</v>
      </c>
      <c r="G21">
        <f t="shared" ref="G21:G41" si="3">+C21-(C$7+F21*C$8)</f>
        <v>0</v>
      </c>
      <c r="H21" s="20">
        <f>G21</f>
        <v>0</v>
      </c>
      <c r="O21">
        <f t="shared" ref="O21:O41" ca="1" si="4">+C$11+C$12*$F21</f>
        <v>2.7279091019533859E-2</v>
      </c>
      <c r="Q21" s="2">
        <f t="shared" ref="Q21:Q41" si="5">+C21-15018.5</f>
        <v>22650.019999999997</v>
      </c>
      <c r="R21" s="2"/>
    </row>
    <row r="22" spans="1:27">
      <c r="A22" t="s">
        <v>33</v>
      </c>
      <c r="B22" s="4"/>
      <c r="C22" s="70">
        <v>50895.459699999999</v>
      </c>
      <c r="D22" s="21">
        <v>3.0000000000000001E-3</v>
      </c>
      <c r="E22">
        <f t="shared" si="1"/>
        <v>17985.069754160777</v>
      </c>
      <c r="F22">
        <f t="shared" si="2"/>
        <v>17985</v>
      </c>
      <c r="G22">
        <f t="shared" si="3"/>
        <v>5.1299999999173451E-2</v>
      </c>
      <c r="K22">
        <f>+G22</f>
        <v>5.1299999999173451E-2</v>
      </c>
      <c r="O22">
        <f t="shared" ca="1" si="4"/>
        <v>5.1438400649692982E-2</v>
      </c>
      <c r="P22">
        <f t="shared" ref="P22:P41" si="6">D$11+D$12*F22+D$13*F22^2</f>
        <v>4.969808587378071E-2</v>
      </c>
      <c r="Q22" s="2">
        <f t="shared" si="5"/>
        <v>35876.959699999999</v>
      </c>
      <c r="R22" s="2"/>
      <c r="S22">
        <f t="shared" ref="S22:S41" si="7">+(P22-G22)^2</f>
        <v>2.5661288651327896E-6</v>
      </c>
    </row>
    <row r="23" spans="1:27">
      <c r="A23" t="s">
        <v>35</v>
      </c>
      <c r="B23" s="4" t="s">
        <v>32</v>
      </c>
      <c r="C23" s="69">
        <v>51275.682999999997</v>
      </c>
      <c r="D23" s="21"/>
      <c r="E23">
        <f t="shared" si="1"/>
        <v>18502.070869139563</v>
      </c>
      <c r="F23">
        <f t="shared" si="2"/>
        <v>18502</v>
      </c>
      <c r="G23">
        <f t="shared" si="3"/>
        <v>5.2120000000286382E-2</v>
      </c>
      <c r="I23">
        <f>G23</f>
        <v>5.2120000000286382E-2</v>
      </c>
      <c r="O23">
        <f t="shared" ca="1" si="4"/>
        <v>5.2132888449459028E-2</v>
      </c>
      <c r="P23">
        <f t="shared" si="6"/>
        <v>5.0846233950692363E-2</v>
      </c>
      <c r="Q23" s="2">
        <f t="shared" si="5"/>
        <v>36257.182999999997</v>
      </c>
      <c r="R23" s="2"/>
      <c r="S23">
        <f t="shared" si="7"/>
        <v>1.6224799490983527E-6</v>
      </c>
    </row>
    <row r="24" spans="1:27">
      <c r="A24" t="s">
        <v>31</v>
      </c>
      <c r="B24" s="4" t="s">
        <v>32</v>
      </c>
      <c r="C24" s="70">
        <v>51657.374100000001</v>
      </c>
      <c r="D24" s="21">
        <v>1.8E-3</v>
      </c>
      <c r="E24">
        <f t="shared" si="1"/>
        <v>19021.067796149251</v>
      </c>
      <c r="F24">
        <f t="shared" si="2"/>
        <v>19021</v>
      </c>
      <c r="G24">
        <f t="shared" si="3"/>
        <v>4.9860000006447081E-2</v>
      </c>
      <c r="K24">
        <f>+G24</f>
        <v>4.9860000006447081E-2</v>
      </c>
      <c r="O24">
        <f t="shared" ca="1" si="4"/>
        <v>5.2830062855800566E-2</v>
      </c>
      <c r="P24">
        <f t="shared" si="6"/>
        <v>5.1983079383089846E-2</v>
      </c>
      <c r="Q24" s="2">
        <f t="shared" si="5"/>
        <v>36638.874100000001</v>
      </c>
      <c r="R24" s="2"/>
      <c r="S24">
        <f t="shared" si="7"/>
        <v>4.5074660395258336E-6</v>
      </c>
    </row>
    <row r="25" spans="1:27">
      <c r="A25" s="12" t="s">
        <v>36</v>
      </c>
      <c r="B25" s="13" t="s">
        <v>32</v>
      </c>
      <c r="C25" s="71">
        <v>51965.527999999998</v>
      </c>
      <c r="D25" s="16">
        <v>4.7000000000000002E-3</v>
      </c>
      <c r="E25">
        <f t="shared" si="1"/>
        <v>19440.07396932449</v>
      </c>
      <c r="F25">
        <f t="shared" si="2"/>
        <v>19440</v>
      </c>
      <c r="G25">
        <f t="shared" si="3"/>
        <v>5.4400000000896398E-2</v>
      </c>
      <c r="K25">
        <f>+G25</f>
        <v>5.4400000000896398E-2</v>
      </c>
      <c r="O25">
        <f t="shared" ca="1" si="4"/>
        <v>5.3392906933367235E-2</v>
      </c>
      <c r="P25">
        <f t="shared" si="6"/>
        <v>5.288937115782491E-2</v>
      </c>
      <c r="Q25" s="2">
        <f t="shared" si="5"/>
        <v>36947.027999999998</v>
      </c>
      <c r="R25" s="2"/>
      <c r="S25">
        <f t="shared" si="7"/>
        <v>2.2819995015195011E-6</v>
      </c>
    </row>
    <row r="26" spans="1:27">
      <c r="A26" s="14" t="s">
        <v>37</v>
      </c>
      <c r="B26" s="4"/>
      <c r="C26" s="72">
        <v>53164.294099999999</v>
      </c>
      <c r="D26" s="21">
        <v>5.9999999999999995E-4</v>
      </c>
      <c r="E26">
        <f t="shared" si="1"/>
        <v>21070.072473621236</v>
      </c>
      <c r="F26">
        <f t="shared" si="2"/>
        <v>21070</v>
      </c>
      <c r="G26">
        <f t="shared" si="3"/>
        <v>5.3299999999580905E-2</v>
      </c>
      <c r="K26">
        <f>+G26</f>
        <v>5.3299999999580905E-2</v>
      </c>
      <c r="O26">
        <f t="shared" ca="1" si="4"/>
        <v>5.5582491292397507E-2</v>
      </c>
      <c r="P26">
        <f t="shared" si="6"/>
        <v>5.6317244246245769E-2</v>
      </c>
      <c r="Q26" s="2">
        <f t="shared" si="5"/>
        <v>38145.794099999999</v>
      </c>
      <c r="R26" s="2"/>
      <c r="S26">
        <f t="shared" si="7"/>
        <v>9.1037628440322248E-6</v>
      </c>
    </row>
    <row r="27" spans="1:27" s="20" customFormat="1">
      <c r="A27" s="17" t="s">
        <v>40</v>
      </c>
      <c r="B27" s="18" t="s">
        <v>32</v>
      </c>
      <c r="C27" s="75">
        <v>53844.578999999998</v>
      </c>
      <c r="D27" s="19">
        <v>1E-3</v>
      </c>
      <c r="E27">
        <f t="shared" si="1"/>
        <v>21995.0764168389</v>
      </c>
      <c r="F27">
        <f t="shared" si="2"/>
        <v>21995</v>
      </c>
      <c r="G27">
        <f t="shared" si="3"/>
        <v>5.6199999999080319E-2</v>
      </c>
      <c r="H27"/>
      <c r="J27">
        <f>+G27</f>
        <v>5.6199999999080319E-2</v>
      </c>
      <c r="K27"/>
      <c r="L27"/>
      <c r="M27"/>
      <c r="N27"/>
      <c r="O27">
        <f t="shared" ca="1" si="4"/>
        <v>5.6825046833564992E-2</v>
      </c>
      <c r="P27">
        <f t="shared" si="6"/>
        <v>5.8193306356203303E-2</v>
      </c>
      <c r="Q27" s="2">
        <f t="shared" si="5"/>
        <v>38826.078999999998</v>
      </c>
      <c r="R27" s="2"/>
      <c r="S27">
        <f t="shared" si="7"/>
        <v>3.973270233346902E-6</v>
      </c>
    </row>
    <row r="28" spans="1:27">
      <c r="A28" s="30" t="s">
        <v>46</v>
      </c>
      <c r="B28" s="41"/>
      <c r="C28" s="73">
        <v>54175.529900000001</v>
      </c>
      <c r="D28" s="30">
        <v>1.4E-3</v>
      </c>
      <c r="E28">
        <f t="shared" si="1"/>
        <v>22445.08036005657</v>
      </c>
      <c r="F28">
        <f t="shared" si="2"/>
        <v>22445</v>
      </c>
      <c r="G28">
        <f t="shared" si="3"/>
        <v>5.9100000005855691E-2</v>
      </c>
      <c r="J28">
        <f>+G28</f>
        <v>5.9100000005855691E-2</v>
      </c>
      <c r="O28">
        <f t="shared" ca="1" si="4"/>
        <v>5.7429533313051874E-2</v>
      </c>
      <c r="P28">
        <f t="shared" si="6"/>
        <v>5.9087867258891993E-2</v>
      </c>
      <c r="Q28" s="2">
        <f t="shared" si="5"/>
        <v>39157.029900000001</v>
      </c>
      <c r="R28" s="2"/>
      <c r="S28">
        <f t="shared" si="7"/>
        <v>1.472035488851051E-10</v>
      </c>
    </row>
    <row r="29" spans="1:27">
      <c r="A29" s="30" t="s">
        <v>46</v>
      </c>
      <c r="B29" s="41"/>
      <c r="C29" s="73">
        <v>54200.534899999999</v>
      </c>
      <c r="D29" s="30">
        <v>1E-3</v>
      </c>
      <c r="E29">
        <f t="shared" si="1"/>
        <v>22479.080414445776</v>
      </c>
      <c r="F29">
        <f t="shared" si="2"/>
        <v>22479</v>
      </c>
      <c r="G29">
        <f t="shared" si="3"/>
        <v>5.9139999997569248E-2</v>
      </c>
      <c r="J29">
        <f>+G29</f>
        <v>5.9139999997569248E-2</v>
      </c>
      <c r="O29">
        <f t="shared" ca="1" si="4"/>
        <v>5.7475205624835324E-2</v>
      </c>
      <c r="P29">
        <f t="shared" si="6"/>
        <v>5.9154974447618233E-2</v>
      </c>
      <c r="Q29" s="2">
        <f t="shared" si="5"/>
        <v>39182.034899999999</v>
      </c>
      <c r="R29" s="2"/>
      <c r="S29">
        <f t="shared" si="7"/>
        <v>2.2423415426955052E-10</v>
      </c>
    </row>
    <row r="30" spans="1:27">
      <c r="A30" s="30" t="s">
        <v>48</v>
      </c>
      <c r="B30" s="42" t="s">
        <v>32</v>
      </c>
      <c r="C30" s="73">
        <v>54888.911399999997</v>
      </c>
      <c r="D30" s="30">
        <v>6.9999999999999999E-4</v>
      </c>
      <c r="E30">
        <f t="shared" si="1"/>
        <v>23415.086750788643</v>
      </c>
      <c r="F30">
        <f t="shared" si="2"/>
        <v>23415</v>
      </c>
      <c r="G30">
        <f t="shared" si="3"/>
        <v>6.3800000003539026E-2</v>
      </c>
      <c r="K30">
        <f>+G30</f>
        <v>6.3800000003539026E-2</v>
      </c>
      <c r="O30">
        <f t="shared" ca="1" si="4"/>
        <v>5.8732537502168045E-2</v>
      </c>
      <c r="P30">
        <f t="shared" si="6"/>
        <v>6.0975810569813327E-2</v>
      </c>
      <c r="Q30" s="2">
        <f t="shared" si="5"/>
        <v>39870.411399999997</v>
      </c>
      <c r="R30" s="2"/>
      <c r="S30">
        <f t="shared" si="7"/>
        <v>7.9760459575678849E-6</v>
      </c>
    </row>
    <row r="31" spans="1:27">
      <c r="A31" s="43" t="s">
        <v>50</v>
      </c>
      <c r="B31" s="44" t="s">
        <v>51</v>
      </c>
      <c r="C31" s="74">
        <v>54941.491000000002</v>
      </c>
      <c r="D31" s="43">
        <v>2.5000000000000001E-3</v>
      </c>
      <c r="E31">
        <f t="shared" si="1"/>
        <v>23486.580822364849</v>
      </c>
      <c r="F31">
        <f t="shared" si="2"/>
        <v>23486.5</v>
      </c>
      <c r="G31">
        <f t="shared" si="3"/>
        <v>5.9440000004542526E-2</v>
      </c>
      <c r="J31">
        <f>+G31</f>
        <v>5.9440000004542526E-2</v>
      </c>
      <c r="O31">
        <f t="shared" ca="1" si="4"/>
        <v>5.8828583687242073E-2</v>
      </c>
      <c r="P31">
        <f t="shared" si="6"/>
        <v>6.1112792884683201E-2</v>
      </c>
      <c r="Q31" s="2">
        <f t="shared" si="5"/>
        <v>39922.991000000002</v>
      </c>
      <c r="R31" s="2"/>
      <c r="S31">
        <f t="shared" si="7"/>
        <v>2.7982360198493344E-6</v>
      </c>
    </row>
    <row r="32" spans="1:27">
      <c r="A32" s="43" t="s">
        <v>50</v>
      </c>
      <c r="B32" s="44" t="s">
        <v>32</v>
      </c>
      <c r="C32" s="74">
        <v>54976.423900000002</v>
      </c>
      <c r="D32" s="43">
        <v>1E-3</v>
      </c>
      <c r="E32">
        <f t="shared" si="1"/>
        <v>23534.080142499733</v>
      </c>
      <c r="F32">
        <f t="shared" si="2"/>
        <v>23534</v>
      </c>
      <c r="G32">
        <f t="shared" si="3"/>
        <v>5.8940000009897631E-2</v>
      </c>
      <c r="J32">
        <f>+G32</f>
        <v>5.8940000009897631E-2</v>
      </c>
      <c r="O32">
        <f t="shared" ca="1" si="4"/>
        <v>5.8892390593410136E-2</v>
      </c>
      <c r="P32">
        <f t="shared" si="6"/>
        <v>6.1203629607849828E-2</v>
      </c>
      <c r="Q32" s="2">
        <f t="shared" si="5"/>
        <v>39957.923900000002</v>
      </c>
      <c r="R32" s="2"/>
      <c r="S32">
        <f t="shared" si="7"/>
        <v>5.1240189567252289E-6</v>
      </c>
    </row>
    <row r="33" spans="1:19">
      <c r="A33" s="43" t="s">
        <v>52</v>
      </c>
      <c r="B33" s="44" t="s">
        <v>32</v>
      </c>
      <c r="C33" s="74">
        <v>55293.399599999997</v>
      </c>
      <c r="D33" s="43">
        <v>1E-4</v>
      </c>
      <c r="E33">
        <f t="shared" si="1"/>
        <v>23965.081583813771</v>
      </c>
      <c r="F33">
        <f t="shared" si="2"/>
        <v>23965</v>
      </c>
      <c r="G33">
        <f t="shared" si="3"/>
        <v>6.0000000004947651E-2</v>
      </c>
      <c r="J33">
        <f>+G33</f>
        <v>6.0000000004947651E-2</v>
      </c>
      <c r="O33">
        <f t="shared" ca="1" si="4"/>
        <v>5.947135431042979E-2</v>
      </c>
      <c r="P33">
        <f t="shared" si="6"/>
        <v>6.2021814511190126E-2</v>
      </c>
      <c r="Q33" s="2">
        <f t="shared" si="5"/>
        <v>40274.899599999997</v>
      </c>
      <c r="R33" s="2"/>
      <c r="S33">
        <f t="shared" si="7"/>
        <v>4.0877338976525037E-6</v>
      </c>
    </row>
    <row r="34" spans="1:19">
      <c r="A34" s="43" t="s">
        <v>53</v>
      </c>
      <c r="B34" s="44" t="s">
        <v>32</v>
      </c>
      <c r="C34" s="74">
        <v>55622.875699999997</v>
      </c>
      <c r="D34" s="43">
        <v>6.9999999999999999E-4</v>
      </c>
      <c r="E34">
        <f t="shared" si="1"/>
        <v>24413.080196888939</v>
      </c>
      <c r="F34">
        <f t="shared" si="2"/>
        <v>24413</v>
      </c>
      <c r="G34">
        <f t="shared" si="3"/>
        <v>5.8980000001611188E-2</v>
      </c>
      <c r="K34">
        <f>+G34</f>
        <v>5.8980000001611188E-2</v>
      </c>
      <c r="O34">
        <f t="shared" ca="1" si="4"/>
        <v>6.0073154183341179E-2</v>
      </c>
      <c r="P34">
        <f t="shared" si="6"/>
        <v>6.2860740367099655E-2</v>
      </c>
      <c r="Q34" s="2">
        <f t="shared" si="5"/>
        <v>40604.375699999997</v>
      </c>
      <c r="R34" s="2"/>
      <c r="S34">
        <f t="shared" si="7"/>
        <v>1.5060145784331557E-5</v>
      </c>
    </row>
    <row r="35" spans="1:19">
      <c r="A35" s="43" t="s">
        <v>54</v>
      </c>
      <c r="B35" s="44" t="s">
        <v>32</v>
      </c>
      <c r="C35" s="74">
        <v>55646.411800000002</v>
      </c>
      <c r="D35" s="43">
        <v>2.3E-3</v>
      </c>
      <c r="E35">
        <f t="shared" si="1"/>
        <v>24445.082943544006</v>
      </c>
      <c r="F35">
        <f t="shared" si="2"/>
        <v>24445</v>
      </c>
      <c r="G35">
        <f t="shared" si="3"/>
        <v>6.1000000001513399E-2</v>
      </c>
      <c r="J35">
        <f>+G35</f>
        <v>6.1000000001513399E-2</v>
      </c>
      <c r="O35">
        <f t="shared" ca="1" si="4"/>
        <v>6.0116139888549136E-2</v>
      </c>
      <c r="P35">
        <f t="shared" si="6"/>
        <v>6.2920213877850392E-2</v>
      </c>
      <c r="Q35" s="2">
        <f t="shared" si="5"/>
        <v>40627.911800000002</v>
      </c>
      <c r="R35" s="2"/>
      <c r="S35">
        <f t="shared" si="7"/>
        <v>3.6872213308771409E-6</v>
      </c>
    </row>
    <row r="36" spans="1:19">
      <c r="A36" s="30" t="s">
        <v>55</v>
      </c>
      <c r="B36" s="42" t="s">
        <v>32</v>
      </c>
      <c r="C36" s="73">
        <v>55986.921300000002</v>
      </c>
      <c r="D36" s="30">
        <v>2.0000000000000001E-4</v>
      </c>
      <c r="E36" s="76">
        <f t="shared" si="1"/>
        <v>24908.084004133587</v>
      </c>
      <c r="F36">
        <f t="shared" si="2"/>
        <v>24908</v>
      </c>
      <c r="G36">
        <f t="shared" si="3"/>
        <v>6.1780000003636815E-2</v>
      </c>
      <c r="K36">
        <f>+G36</f>
        <v>6.1780000003636815E-2</v>
      </c>
      <c r="O36">
        <f t="shared" ca="1" si="4"/>
        <v>6.0738089310776754E-2</v>
      </c>
      <c r="P36">
        <f t="shared" si="6"/>
        <v>6.3774010343543047E-2</v>
      </c>
      <c r="Q36" s="2">
        <f t="shared" si="5"/>
        <v>40968.421300000002</v>
      </c>
      <c r="R36" s="2"/>
      <c r="S36">
        <f t="shared" si="7"/>
        <v>3.9760772356529688E-6</v>
      </c>
    </row>
    <row r="37" spans="1:19">
      <c r="A37" s="77" t="s">
        <v>58</v>
      </c>
      <c r="B37" s="41" t="s">
        <v>32</v>
      </c>
      <c r="C37" s="73">
        <v>56013.3969</v>
      </c>
      <c r="D37" s="78">
        <v>2.0000000000000001E-4</v>
      </c>
      <c r="E37" s="76">
        <f t="shared" si="1"/>
        <v>24944.083677798328</v>
      </c>
      <c r="F37">
        <f t="shared" si="2"/>
        <v>24944</v>
      </c>
      <c r="G37">
        <f t="shared" si="3"/>
        <v>6.1540000002423767E-2</v>
      </c>
      <c r="J37">
        <f>+G37</f>
        <v>6.1540000002423767E-2</v>
      </c>
      <c r="O37">
        <f t="shared" ca="1" si="4"/>
        <v>6.0786448229135703E-2</v>
      </c>
      <c r="P37">
        <f t="shared" si="6"/>
        <v>6.3839870232004825E-2</v>
      </c>
      <c r="Q37" s="2">
        <f t="shared" si="5"/>
        <v>40994.8969</v>
      </c>
      <c r="R37" s="2"/>
      <c r="S37">
        <f t="shared" si="7"/>
        <v>5.2894030729132284E-6</v>
      </c>
    </row>
    <row r="38" spans="1:19">
      <c r="A38" s="30" t="s">
        <v>55</v>
      </c>
      <c r="B38" s="42" t="s">
        <v>32</v>
      </c>
      <c r="C38" s="73">
        <v>56034.722999999998</v>
      </c>
      <c r="D38" s="30">
        <v>6.9999999999999999E-4</v>
      </c>
      <c r="E38" s="76">
        <f t="shared" si="1"/>
        <v>24973.081420646147</v>
      </c>
      <c r="F38">
        <f t="shared" si="2"/>
        <v>24973</v>
      </c>
      <c r="G38">
        <f t="shared" si="3"/>
        <v>5.9880000000703149E-2</v>
      </c>
      <c r="K38">
        <f t="shared" ref="K38:K43" si="8">+G38</f>
        <v>5.9880000000703149E-2</v>
      </c>
      <c r="O38">
        <f t="shared" ca="1" si="4"/>
        <v>6.082540402448041E-2</v>
      </c>
      <c r="P38">
        <f t="shared" si="6"/>
        <v>6.3892868835313935E-2</v>
      </c>
      <c r="Q38" s="2">
        <f t="shared" si="5"/>
        <v>41016.222999999998</v>
      </c>
      <c r="R38" s="2"/>
      <c r="S38">
        <f t="shared" si="7"/>
        <v>1.6103116283790527E-5</v>
      </c>
    </row>
    <row r="39" spans="1:19">
      <c r="A39" s="79" t="s">
        <v>57</v>
      </c>
      <c r="B39" s="42" t="s">
        <v>32</v>
      </c>
      <c r="C39" s="73">
        <v>56353.903389999999</v>
      </c>
      <c r="D39" s="30">
        <v>1.2E-4</v>
      </c>
      <c r="E39" s="76">
        <f t="shared" si="1"/>
        <v>25407.080645599915</v>
      </c>
      <c r="F39">
        <f t="shared" si="2"/>
        <v>25407</v>
      </c>
      <c r="G39">
        <f t="shared" si="3"/>
        <v>5.9310000004188623E-2</v>
      </c>
      <c r="K39">
        <f t="shared" si="8"/>
        <v>5.9310000004188623E-2</v>
      </c>
      <c r="O39">
        <f t="shared" ca="1" si="4"/>
        <v>6.1408397651363321E-2</v>
      </c>
      <c r="P39">
        <f t="shared" si="6"/>
        <v>6.4680136452856613E-2</v>
      </c>
      <c r="Q39" s="2">
        <f t="shared" si="5"/>
        <v>41335.403389999999</v>
      </c>
      <c r="R39" s="2"/>
      <c r="S39">
        <f t="shared" si="7"/>
        <v>2.8838365477312443E-5</v>
      </c>
    </row>
    <row r="40" spans="1:19">
      <c r="A40" s="79" t="s">
        <v>57</v>
      </c>
      <c r="B40" s="42" t="s">
        <v>32</v>
      </c>
      <c r="C40" s="73">
        <v>56353.904419999999</v>
      </c>
      <c r="D40" s="30">
        <v>1E-4</v>
      </c>
      <c r="E40" s="76">
        <f t="shared" si="1"/>
        <v>25407.082046122054</v>
      </c>
      <c r="F40">
        <f t="shared" si="2"/>
        <v>25407</v>
      </c>
      <c r="G40">
        <f t="shared" si="3"/>
        <v>6.0340000003634486E-2</v>
      </c>
      <c r="K40">
        <f t="shared" si="8"/>
        <v>6.0340000003634486E-2</v>
      </c>
      <c r="O40">
        <f t="shared" ca="1" si="4"/>
        <v>6.1408397651363321E-2</v>
      </c>
      <c r="P40">
        <f t="shared" si="6"/>
        <v>6.4680136452856613E-2</v>
      </c>
      <c r="Q40" s="2">
        <f t="shared" si="5"/>
        <v>41335.404419999999</v>
      </c>
      <c r="R40" s="2"/>
      <c r="S40">
        <f t="shared" si="7"/>
        <v>1.8836784397866444E-5</v>
      </c>
    </row>
    <row r="41" spans="1:19">
      <c r="A41" s="79" t="s">
        <v>57</v>
      </c>
      <c r="B41" s="42" t="s">
        <v>32</v>
      </c>
      <c r="C41" s="73">
        <v>56353.90526</v>
      </c>
      <c r="D41" s="30">
        <v>1.7000000000000001E-4</v>
      </c>
      <c r="E41" s="76">
        <f t="shared" si="1"/>
        <v>25407.083188295448</v>
      </c>
      <c r="F41">
        <f t="shared" si="2"/>
        <v>25407</v>
      </c>
      <c r="G41">
        <f t="shared" si="3"/>
        <v>6.1180000004242174E-2</v>
      </c>
      <c r="K41">
        <f t="shared" si="8"/>
        <v>6.1180000004242174E-2</v>
      </c>
      <c r="O41">
        <f t="shared" ca="1" si="4"/>
        <v>6.1408397651363321E-2</v>
      </c>
      <c r="P41">
        <f t="shared" si="6"/>
        <v>6.4680136452856613E-2</v>
      </c>
      <c r="Q41" s="2">
        <f t="shared" si="5"/>
        <v>41335.40526</v>
      </c>
      <c r="R41" s="2"/>
      <c r="S41">
        <f t="shared" si="7"/>
        <v>1.2250955158919292E-5</v>
      </c>
    </row>
    <row r="42" spans="1:19">
      <c r="A42" s="80" t="s">
        <v>3</v>
      </c>
      <c r="B42" s="81" t="s">
        <v>32</v>
      </c>
      <c r="C42" s="82">
        <v>57133.473599999998</v>
      </c>
      <c r="D42" s="82">
        <v>3.2000000000000002E-3</v>
      </c>
      <c r="E42" s="76">
        <f>+(C42-C$7)/C$8</f>
        <v>26467.08582617209</v>
      </c>
      <c r="F42">
        <f t="shared" si="2"/>
        <v>26467</v>
      </c>
      <c r="G42">
        <f>+C42-(C$7+F42*C$8)</f>
        <v>6.3120000006165355E-2</v>
      </c>
      <c r="K42">
        <f t="shared" si="8"/>
        <v>6.3120000006165355E-2</v>
      </c>
      <c r="O42">
        <f ca="1">+C$11+C$12*$F42</f>
        <v>6.2832299136376862E-2</v>
      </c>
      <c r="P42">
        <f>D$11+D$12*F42+D$13*F42^2</f>
        <v>6.6556584539198882E-2</v>
      </c>
      <c r="Q42" s="2">
        <f>+C42-15018.5</f>
        <v>42114.973599999998</v>
      </c>
      <c r="R42" s="2"/>
      <c r="S42">
        <f>+(P42-G42)^2</f>
        <v>1.1810113252685261E-5</v>
      </c>
    </row>
    <row r="43" spans="1:19">
      <c r="A43" s="83" t="s">
        <v>0</v>
      </c>
      <c r="B43" s="85" t="s">
        <v>32</v>
      </c>
      <c r="C43" s="84">
        <v>57839.494899999998</v>
      </c>
      <c r="D43" s="84">
        <v>2E-3</v>
      </c>
      <c r="E43" s="76">
        <f>+(C43-C$7)/C$8</f>
        <v>27427.084330468839</v>
      </c>
      <c r="F43">
        <f t="shared" si="2"/>
        <v>27427</v>
      </c>
      <c r="G43">
        <f>+C43-(C$7+F43*C$8)</f>
        <v>6.2020000004849862E-2</v>
      </c>
      <c r="K43">
        <f t="shared" si="8"/>
        <v>6.2020000004849862E-2</v>
      </c>
      <c r="O43">
        <f ca="1">+C$11+C$12*$F43</f>
        <v>6.4121870292615554E-2</v>
      </c>
      <c r="P43">
        <f>D$11+D$12*F43+D$13*F43^2</f>
        <v>6.8199226431409632E-2</v>
      </c>
      <c r="Q43" s="2">
        <f>+C43-15018.5</f>
        <v>42820.994899999998</v>
      </c>
      <c r="R43" s="2"/>
      <c r="S43">
        <f>+(P43-G43)^2</f>
        <v>3.8182839230694617E-5</v>
      </c>
    </row>
    <row r="44" spans="1:19">
      <c r="A44" s="76"/>
      <c r="B44" s="42"/>
      <c r="C44" s="73"/>
      <c r="D44" s="30"/>
      <c r="E44" s="76"/>
    </row>
    <row r="45" spans="1:19">
      <c r="B45" s="4"/>
      <c r="C45" s="69"/>
      <c r="D45" s="21"/>
    </row>
    <row r="46" spans="1:19">
      <c r="B46" s="4"/>
      <c r="C46" s="69"/>
      <c r="D46" s="21"/>
    </row>
    <row r="47" spans="1:19">
      <c r="B47" s="4"/>
      <c r="C47" s="69"/>
      <c r="D47" s="21"/>
    </row>
    <row r="48" spans="1:19">
      <c r="B48" s="4"/>
      <c r="C48" s="69"/>
      <c r="D48" s="21"/>
    </row>
    <row r="49" spans="2:4">
      <c r="B49" s="4"/>
      <c r="C49" s="69"/>
      <c r="D49" s="21"/>
    </row>
    <row r="50" spans="2:4">
      <c r="B50" s="4"/>
      <c r="C50" s="69"/>
      <c r="D50" s="21"/>
    </row>
    <row r="51" spans="2:4">
      <c r="B51" s="4"/>
      <c r="C51" s="69"/>
      <c r="D51" s="21"/>
    </row>
    <row r="52" spans="2:4">
      <c r="B52" s="4"/>
      <c r="C52" s="69"/>
      <c r="D52" s="21"/>
    </row>
    <row r="53" spans="2:4">
      <c r="B53" s="4"/>
      <c r="C53" s="69"/>
      <c r="D53" s="21"/>
    </row>
    <row r="54" spans="2:4">
      <c r="B54" s="4"/>
    </row>
    <row r="55" spans="2:4">
      <c r="B55" s="4"/>
    </row>
    <row r="56" spans="2:4">
      <c r="B56" s="4"/>
    </row>
    <row r="57" spans="2:4">
      <c r="B57" s="4"/>
    </row>
    <row r="58" spans="2:4">
      <c r="B58" s="4"/>
    </row>
    <row r="59" spans="2:4">
      <c r="B59" s="4"/>
    </row>
    <row r="60" spans="2:4">
      <c r="B60" s="4"/>
    </row>
    <row r="61" spans="2:4">
      <c r="B61" s="4"/>
    </row>
    <row r="62" spans="2:4">
      <c r="B62" s="4"/>
    </row>
    <row r="63" spans="2:4">
      <c r="B63" s="4"/>
    </row>
    <row r="64" spans="2:4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</sheetData>
  <phoneticPr fontId="8" type="noConversion"/>
  <hyperlinks>
    <hyperlink ref="H1392" r:id="rId1" display="http://vsolj.cetus-net.org/bulletin.html"/>
    <hyperlink ref="H64833" r:id="rId2" display="http://vsolj.cetus-net.org/bulletin.html"/>
    <hyperlink ref="H64826" r:id="rId3" display="https://www.aavso.org/ejaavso"/>
    <hyperlink ref="AP977" r:id="rId4" display="http://cdsbib.u-strasbg.fr/cgi-bin/cdsbib?1990RMxAA..21..381G"/>
    <hyperlink ref="AP981" r:id="rId5" display="http://cdsbib.u-strasbg.fr/cgi-bin/cdsbib?1990RMxAA..21..381G"/>
    <hyperlink ref="AP980" r:id="rId6" display="http://cdsbib.u-strasbg.fr/cgi-bin/cdsbib?1990RMxAA..21..381G"/>
    <hyperlink ref="AP961" r:id="rId7" display="http://cdsbib.u-strasbg.fr/cgi-bin/cdsbib?1990RMxAA..21..381G"/>
    <hyperlink ref="I64833" r:id="rId8" display="http://vsolj.cetus-net.org/bulletin.html"/>
    <hyperlink ref="AQ1117" r:id="rId9" display="http://cdsbib.u-strasbg.fr/cgi-bin/cdsbib?1990RMxAA..21..381G"/>
    <hyperlink ref="AQ55883" r:id="rId10" display="http://cdsbib.u-strasbg.fr/cgi-bin/cdsbib?1990RMxAA..21..381G"/>
    <hyperlink ref="AQ1118" r:id="rId11" display="http://cdsbib.u-strasbg.fr/cgi-bin/cdsbib?1990RMxAA..21..381G"/>
    <hyperlink ref="H64830" r:id="rId12" display="https://www.aavso.org/ejaavso"/>
    <hyperlink ref="H2003" r:id="rId13" display="http://vsolj.cetus-net.org/bulletin.html"/>
    <hyperlink ref="AP3247" r:id="rId14" display="http://cdsbib.u-strasbg.fr/cgi-bin/cdsbib?1990RMxAA..21..381G"/>
    <hyperlink ref="AP3250" r:id="rId15" display="http://cdsbib.u-strasbg.fr/cgi-bin/cdsbib?1990RMxAA..21..381G"/>
    <hyperlink ref="AP3248" r:id="rId16" display="http://cdsbib.u-strasbg.fr/cgi-bin/cdsbib?1990RMxAA..21..381G"/>
    <hyperlink ref="AP3232" r:id="rId17" display="http://cdsbib.u-strasbg.fr/cgi-bin/cdsbib?1990RMxAA..21..381G"/>
    <hyperlink ref="I2003" r:id="rId18" display="http://vsolj.cetus-net.org/bulletin.html"/>
    <hyperlink ref="AQ3461" r:id="rId19" display="http://cdsbib.u-strasbg.fr/cgi-bin/cdsbib?1990RMxAA..21..381G"/>
    <hyperlink ref="AQ162" r:id="rId20" display="http://cdsbib.u-strasbg.fr/cgi-bin/cdsbib?1990RMxAA..21..381G"/>
    <hyperlink ref="AQ3465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6" workbookViewId="0">
      <selection activeCell="A27" sqref="A27:D29"/>
    </sheetView>
  </sheetViews>
  <sheetFormatPr defaultRowHeight="12.75"/>
  <cols>
    <col min="1" max="1" width="19.7109375" style="21" customWidth="1"/>
    <col min="2" max="2" width="4.42578125" style="23" customWidth="1"/>
    <col min="3" max="3" width="12.7109375" style="21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1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45" t="s">
        <v>59</v>
      </c>
      <c r="I1" s="46" t="s">
        <v>60</v>
      </c>
      <c r="J1" s="47" t="s">
        <v>61</v>
      </c>
    </row>
    <row r="2" spans="1:16">
      <c r="I2" s="48" t="s">
        <v>62</v>
      </c>
      <c r="J2" s="49" t="s">
        <v>63</v>
      </c>
    </row>
    <row r="3" spans="1:16">
      <c r="A3" s="50" t="s">
        <v>64</v>
      </c>
      <c r="I3" s="48" t="s">
        <v>65</v>
      </c>
      <c r="J3" s="49" t="s">
        <v>66</v>
      </c>
    </row>
    <row r="4" spans="1:16">
      <c r="I4" s="48" t="s">
        <v>67</v>
      </c>
      <c r="J4" s="49" t="s">
        <v>66</v>
      </c>
    </row>
    <row r="5" spans="1:16" ht="13.5" thickBot="1">
      <c r="I5" s="51" t="s">
        <v>68</v>
      </c>
      <c r="J5" s="52" t="s">
        <v>69</v>
      </c>
    </row>
    <row r="10" spans="1:16" ht="13.5" thickBot="1"/>
    <row r="11" spans="1:16" ht="12.75" customHeight="1" thickBot="1">
      <c r="A11" s="21" t="str">
        <f t="shared" ref="A11:A29" si="0">P11</f>
        <v>IBVS 4888 </v>
      </c>
      <c r="B11" s="4" t="str">
        <f t="shared" ref="B11:B29" si="1">IF(H11=INT(H11),"I","II")</f>
        <v>I</v>
      </c>
      <c r="C11" s="21">
        <f t="shared" ref="C11:C29" si="2">1*G11</f>
        <v>50895.459699999999</v>
      </c>
      <c r="D11" s="23" t="str">
        <f t="shared" ref="D11:D29" si="3">VLOOKUP(F11,I$1:J$5,2,FALSE)</f>
        <v>vis</v>
      </c>
      <c r="E11" s="53">
        <f>VLOOKUP(C11,Active!C$21:E$973,3,FALSE)</f>
        <v>17985.069754160777</v>
      </c>
      <c r="F11" s="4" t="s">
        <v>68</v>
      </c>
      <c r="G11" s="23" t="str">
        <f t="shared" ref="G11:G29" si="4">MID(I11,3,LEN(I11)-3)</f>
        <v>50895.4597</v>
      </c>
      <c r="H11" s="21">
        <f t="shared" ref="H11:H29" si="5">1*K11</f>
        <v>17985</v>
      </c>
      <c r="I11" s="54" t="s">
        <v>70</v>
      </c>
      <c r="J11" s="55" t="s">
        <v>71</v>
      </c>
      <c r="K11" s="54">
        <v>17985</v>
      </c>
      <c r="L11" s="54" t="s">
        <v>72</v>
      </c>
      <c r="M11" s="55" t="s">
        <v>73</v>
      </c>
      <c r="N11" s="55" t="s">
        <v>74</v>
      </c>
      <c r="O11" s="56" t="s">
        <v>75</v>
      </c>
      <c r="P11" s="57" t="s">
        <v>76</v>
      </c>
    </row>
    <row r="12" spans="1:16" ht="12.75" customHeight="1" thickBot="1">
      <c r="A12" s="21" t="str">
        <f t="shared" si="0"/>
        <v>IBVS 5287 </v>
      </c>
      <c r="B12" s="4" t="str">
        <f t="shared" si="1"/>
        <v>I</v>
      </c>
      <c r="C12" s="21">
        <f t="shared" si="2"/>
        <v>51657.374100000001</v>
      </c>
      <c r="D12" s="23" t="str">
        <f t="shared" si="3"/>
        <v>vis</v>
      </c>
      <c r="E12" s="53">
        <f>VLOOKUP(C12,Active!C$21:E$973,3,FALSE)</f>
        <v>19021.067796149251</v>
      </c>
      <c r="F12" s="4" t="s">
        <v>68</v>
      </c>
      <c r="G12" s="23" t="str">
        <f t="shared" si="4"/>
        <v>51657.3741</v>
      </c>
      <c r="H12" s="21">
        <f t="shared" si="5"/>
        <v>19021</v>
      </c>
      <c r="I12" s="54" t="s">
        <v>77</v>
      </c>
      <c r="J12" s="55" t="s">
        <v>78</v>
      </c>
      <c r="K12" s="54">
        <v>19021</v>
      </c>
      <c r="L12" s="54" t="s">
        <v>79</v>
      </c>
      <c r="M12" s="55" t="s">
        <v>73</v>
      </c>
      <c r="N12" s="55" t="s">
        <v>74</v>
      </c>
      <c r="O12" s="56" t="s">
        <v>80</v>
      </c>
      <c r="P12" s="57" t="s">
        <v>81</v>
      </c>
    </row>
    <row r="13" spans="1:16" ht="12.75" customHeight="1" thickBot="1">
      <c r="A13" s="21" t="str">
        <f t="shared" si="0"/>
        <v>IBVS 5583 </v>
      </c>
      <c r="B13" s="4" t="str">
        <f t="shared" si="1"/>
        <v>I</v>
      </c>
      <c r="C13" s="21">
        <f t="shared" si="2"/>
        <v>51965.527999999998</v>
      </c>
      <c r="D13" s="23" t="str">
        <f t="shared" si="3"/>
        <v>vis</v>
      </c>
      <c r="E13" s="53">
        <f>VLOOKUP(C13,Active!C$21:E$973,3,FALSE)</f>
        <v>19440.07396932449</v>
      </c>
      <c r="F13" s="4" t="s">
        <v>68</v>
      </c>
      <c r="G13" s="23" t="str">
        <f t="shared" si="4"/>
        <v>51965.5280</v>
      </c>
      <c r="H13" s="21">
        <f t="shared" si="5"/>
        <v>19440</v>
      </c>
      <c r="I13" s="54" t="s">
        <v>82</v>
      </c>
      <c r="J13" s="55" t="s">
        <v>83</v>
      </c>
      <c r="K13" s="54">
        <v>19440</v>
      </c>
      <c r="L13" s="54" t="s">
        <v>84</v>
      </c>
      <c r="M13" s="55" t="s">
        <v>73</v>
      </c>
      <c r="N13" s="55" t="s">
        <v>74</v>
      </c>
      <c r="O13" s="56" t="s">
        <v>80</v>
      </c>
      <c r="P13" s="57" t="s">
        <v>85</v>
      </c>
    </row>
    <row r="14" spans="1:16" ht="12.75" customHeight="1" thickBot="1">
      <c r="A14" s="21" t="str">
        <f t="shared" si="0"/>
        <v>IBVS 5592 </v>
      </c>
      <c r="B14" s="4" t="str">
        <f t="shared" si="1"/>
        <v>I</v>
      </c>
      <c r="C14" s="21">
        <f t="shared" si="2"/>
        <v>53164.294099999999</v>
      </c>
      <c r="D14" s="23" t="str">
        <f t="shared" si="3"/>
        <v>vis</v>
      </c>
      <c r="E14" s="53">
        <f>VLOOKUP(C14,Active!C$21:E$973,3,FALSE)</f>
        <v>21070.072473621236</v>
      </c>
      <c r="F14" s="4" t="s">
        <v>68</v>
      </c>
      <c r="G14" s="23" t="str">
        <f t="shared" si="4"/>
        <v>53164.2941</v>
      </c>
      <c r="H14" s="21">
        <f t="shared" si="5"/>
        <v>21070</v>
      </c>
      <c r="I14" s="54" t="s">
        <v>86</v>
      </c>
      <c r="J14" s="55" t="s">
        <v>87</v>
      </c>
      <c r="K14" s="54">
        <v>21070</v>
      </c>
      <c r="L14" s="54" t="s">
        <v>88</v>
      </c>
      <c r="M14" s="55" t="s">
        <v>73</v>
      </c>
      <c r="N14" s="55" t="s">
        <v>74</v>
      </c>
      <c r="O14" s="56" t="s">
        <v>89</v>
      </c>
      <c r="P14" s="57" t="s">
        <v>90</v>
      </c>
    </row>
    <row r="15" spans="1:16" ht="12.75" customHeight="1" thickBot="1">
      <c r="A15" s="21" t="str">
        <f t="shared" si="0"/>
        <v>IBVS 5713 </v>
      </c>
      <c r="B15" s="4" t="str">
        <f t="shared" si="1"/>
        <v>I</v>
      </c>
      <c r="C15" s="21">
        <f t="shared" si="2"/>
        <v>53844.578999999998</v>
      </c>
      <c r="D15" s="23" t="str">
        <f t="shared" si="3"/>
        <v>vis</v>
      </c>
      <c r="E15" s="53">
        <f>VLOOKUP(C15,Active!C$21:E$973,3,FALSE)</f>
        <v>21995.0764168389</v>
      </c>
      <c r="F15" s="4" t="s">
        <v>68</v>
      </c>
      <c r="G15" s="23" t="str">
        <f t="shared" si="4"/>
        <v>53844.579</v>
      </c>
      <c r="H15" s="21">
        <f t="shared" si="5"/>
        <v>21995</v>
      </c>
      <c r="I15" s="54" t="s">
        <v>91</v>
      </c>
      <c r="J15" s="55" t="s">
        <v>92</v>
      </c>
      <c r="K15" s="54">
        <v>21995</v>
      </c>
      <c r="L15" s="54" t="s">
        <v>93</v>
      </c>
      <c r="M15" s="55" t="s">
        <v>73</v>
      </c>
      <c r="N15" s="55" t="s">
        <v>74</v>
      </c>
      <c r="O15" s="56" t="s">
        <v>94</v>
      </c>
      <c r="P15" s="57" t="s">
        <v>95</v>
      </c>
    </row>
    <row r="16" spans="1:16" ht="12.75" customHeight="1" thickBot="1">
      <c r="A16" s="21" t="str">
        <f t="shared" si="0"/>
        <v>BAVM 186 </v>
      </c>
      <c r="B16" s="4" t="str">
        <f t="shared" si="1"/>
        <v>I</v>
      </c>
      <c r="C16" s="21">
        <f t="shared" si="2"/>
        <v>54175.529900000001</v>
      </c>
      <c r="D16" s="23" t="str">
        <f t="shared" si="3"/>
        <v>vis</v>
      </c>
      <c r="E16" s="53">
        <f>VLOOKUP(C16,Active!C$21:E$973,3,FALSE)</f>
        <v>22445.08036005657</v>
      </c>
      <c r="F16" s="4" t="s">
        <v>68</v>
      </c>
      <c r="G16" s="23" t="str">
        <f t="shared" si="4"/>
        <v>54175.5299</v>
      </c>
      <c r="H16" s="21">
        <f t="shared" si="5"/>
        <v>22445</v>
      </c>
      <c r="I16" s="54" t="s">
        <v>96</v>
      </c>
      <c r="J16" s="55" t="s">
        <v>97</v>
      </c>
      <c r="K16" s="54">
        <v>22445</v>
      </c>
      <c r="L16" s="54" t="s">
        <v>98</v>
      </c>
      <c r="M16" s="55" t="s">
        <v>99</v>
      </c>
      <c r="N16" s="55" t="s">
        <v>100</v>
      </c>
      <c r="O16" s="56" t="s">
        <v>101</v>
      </c>
      <c r="P16" s="57" t="s">
        <v>102</v>
      </c>
    </row>
    <row r="17" spans="1:16" ht="12.75" customHeight="1" thickBot="1">
      <c r="A17" s="21" t="str">
        <f t="shared" si="0"/>
        <v>BAVM 186 </v>
      </c>
      <c r="B17" s="4" t="str">
        <f t="shared" si="1"/>
        <v>I</v>
      </c>
      <c r="C17" s="21">
        <f t="shared" si="2"/>
        <v>54200.534899999999</v>
      </c>
      <c r="D17" s="23" t="str">
        <f t="shared" si="3"/>
        <v>vis</v>
      </c>
      <c r="E17" s="53">
        <f>VLOOKUP(C17,Active!C$21:E$973,3,FALSE)</f>
        <v>22479.080414445776</v>
      </c>
      <c r="F17" s="4" t="s">
        <v>68</v>
      </c>
      <c r="G17" s="23" t="str">
        <f t="shared" si="4"/>
        <v>54200.5349</v>
      </c>
      <c r="H17" s="21">
        <f t="shared" si="5"/>
        <v>22479</v>
      </c>
      <c r="I17" s="54" t="s">
        <v>103</v>
      </c>
      <c r="J17" s="55" t="s">
        <v>104</v>
      </c>
      <c r="K17" s="54" t="s">
        <v>105</v>
      </c>
      <c r="L17" s="54" t="s">
        <v>98</v>
      </c>
      <c r="M17" s="55" t="s">
        <v>99</v>
      </c>
      <c r="N17" s="55" t="s">
        <v>100</v>
      </c>
      <c r="O17" s="56" t="s">
        <v>106</v>
      </c>
      <c r="P17" s="57" t="s">
        <v>102</v>
      </c>
    </row>
    <row r="18" spans="1:16" ht="12.75" customHeight="1" thickBot="1">
      <c r="A18" s="21" t="str">
        <f t="shared" si="0"/>
        <v>IBVS 5894 </v>
      </c>
      <c r="B18" s="4" t="str">
        <f t="shared" si="1"/>
        <v>I</v>
      </c>
      <c r="C18" s="21">
        <f t="shared" si="2"/>
        <v>54888.911399999997</v>
      </c>
      <c r="D18" s="23" t="str">
        <f t="shared" si="3"/>
        <v>vis</v>
      </c>
      <c r="E18" s="53">
        <f>VLOOKUP(C18,Active!C$21:E$973,3,FALSE)</f>
        <v>23415.086750788643</v>
      </c>
      <c r="F18" s="4" t="s">
        <v>68</v>
      </c>
      <c r="G18" s="23" t="str">
        <f t="shared" si="4"/>
        <v>54888.9114</v>
      </c>
      <c r="H18" s="21">
        <f t="shared" si="5"/>
        <v>23415</v>
      </c>
      <c r="I18" s="54" t="s">
        <v>107</v>
      </c>
      <c r="J18" s="55" t="s">
        <v>108</v>
      </c>
      <c r="K18" s="54" t="s">
        <v>109</v>
      </c>
      <c r="L18" s="54" t="s">
        <v>110</v>
      </c>
      <c r="M18" s="55" t="s">
        <v>99</v>
      </c>
      <c r="N18" s="55" t="s">
        <v>68</v>
      </c>
      <c r="O18" s="56" t="s">
        <v>94</v>
      </c>
      <c r="P18" s="57" t="s">
        <v>111</v>
      </c>
    </row>
    <row r="19" spans="1:16" ht="12.75" customHeight="1" thickBot="1">
      <c r="A19" s="21" t="str">
        <f t="shared" si="0"/>
        <v>BAVM 209 </v>
      </c>
      <c r="B19" s="4" t="str">
        <f t="shared" si="1"/>
        <v>II</v>
      </c>
      <c r="C19" s="21">
        <f t="shared" si="2"/>
        <v>54941.491000000002</v>
      </c>
      <c r="D19" s="23" t="str">
        <f t="shared" si="3"/>
        <v>vis</v>
      </c>
      <c r="E19" s="53">
        <f>VLOOKUP(C19,Active!C$21:E$973,3,FALSE)</f>
        <v>23486.580822364849</v>
      </c>
      <c r="F19" s="4" t="s">
        <v>68</v>
      </c>
      <c r="G19" s="23" t="str">
        <f t="shared" si="4"/>
        <v>54941.4910</v>
      </c>
      <c r="H19" s="21">
        <f t="shared" si="5"/>
        <v>23486.5</v>
      </c>
      <c r="I19" s="54" t="s">
        <v>112</v>
      </c>
      <c r="J19" s="55" t="s">
        <v>113</v>
      </c>
      <c r="K19" s="54" t="s">
        <v>114</v>
      </c>
      <c r="L19" s="54" t="s">
        <v>115</v>
      </c>
      <c r="M19" s="55" t="s">
        <v>99</v>
      </c>
      <c r="N19" s="55" t="s">
        <v>100</v>
      </c>
      <c r="O19" s="56" t="s">
        <v>101</v>
      </c>
      <c r="P19" s="57" t="s">
        <v>116</v>
      </c>
    </row>
    <row r="20" spans="1:16" ht="12.75" customHeight="1" thickBot="1">
      <c r="A20" s="21" t="str">
        <f t="shared" si="0"/>
        <v>BAVM 209 </v>
      </c>
      <c r="B20" s="4" t="str">
        <f t="shared" si="1"/>
        <v>I</v>
      </c>
      <c r="C20" s="21">
        <f t="shared" si="2"/>
        <v>54976.423900000002</v>
      </c>
      <c r="D20" s="23" t="str">
        <f t="shared" si="3"/>
        <v>vis</v>
      </c>
      <c r="E20" s="53">
        <f>VLOOKUP(C20,Active!C$21:E$973,3,FALSE)</f>
        <v>23534.080142499733</v>
      </c>
      <c r="F20" s="4" t="s">
        <v>68</v>
      </c>
      <c r="G20" s="23" t="str">
        <f t="shared" si="4"/>
        <v>54976.4239</v>
      </c>
      <c r="H20" s="21">
        <f t="shared" si="5"/>
        <v>23534</v>
      </c>
      <c r="I20" s="54" t="s">
        <v>117</v>
      </c>
      <c r="J20" s="55" t="s">
        <v>118</v>
      </c>
      <c r="K20" s="54" t="s">
        <v>119</v>
      </c>
      <c r="L20" s="54" t="s">
        <v>120</v>
      </c>
      <c r="M20" s="55" t="s">
        <v>99</v>
      </c>
      <c r="N20" s="55" t="s">
        <v>121</v>
      </c>
      <c r="O20" s="56" t="s">
        <v>122</v>
      </c>
      <c r="P20" s="57" t="s">
        <v>116</v>
      </c>
    </row>
    <row r="21" spans="1:16" ht="12.75" customHeight="1" thickBot="1">
      <c r="A21" s="21" t="str">
        <f t="shared" si="0"/>
        <v>BAVM 214 </v>
      </c>
      <c r="B21" s="4" t="str">
        <f t="shared" si="1"/>
        <v>I</v>
      </c>
      <c r="C21" s="21">
        <f t="shared" si="2"/>
        <v>55293.399599999997</v>
      </c>
      <c r="D21" s="23" t="str">
        <f t="shared" si="3"/>
        <v>vis</v>
      </c>
      <c r="E21" s="53">
        <f>VLOOKUP(C21,Active!C$21:E$973,3,FALSE)</f>
        <v>23965.081583813771</v>
      </c>
      <c r="F21" s="4" t="s">
        <v>68</v>
      </c>
      <c r="G21" s="23" t="str">
        <f t="shared" si="4"/>
        <v>55293.3996</v>
      </c>
      <c r="H21" s="21">
        <f t="shared" si="5"/>
        <v>23965</v>
      </c>
      <c r="I21" s="54" t="s">
        <v>123</v>
      </c>
      <c r="J21" s="55" t="s">
        <v>124</v>
      </c>
      <c r="K21" s="54" t="s">
        <v>125</v>
      </c>
      <c r="L21" s="54" t="s">
        <v>126</v>
      </c>
      <c r="M21" s="55" t="s">
        <v>99</v>
      </c>
      <c r="N21" s="55" t="s">
        <v>121</v>
      </c>
      <c r="O21" s="56" t="s">
        <v>127</v>
      </c>
      <c r="P21" s="57" t="s">
        <v>128</v>
      </c>
    </row>
    <row r="22" spans="1:16" ht="12.75" customHeight="1" thickBot="1">
      <c r="A22" s="21" t="str">
        <f t="shared" si="0"/>
        <v>IBVS 5992 </v>
      </c>
      <c r="B22" s="4" t="str">
        <f t="shared" si="1"/>
        <v>I</v>
      </c>
      <c r="C22" s="21">
        <f t="shared" si="2"/>
        <v>55622.875699999997</v>
      </c>
      <c r="D22" s="23" t="str">
        <f t="shared" si="3"/>
        <v>vis</v>
      </c>
      <c r="E22" s="53">
        <f>VLOOKUP(C22,Active!C$21:E$973,3,FALSE)</f>
        <v>24413.080196888939</v>
      </c>
      <c r="F22" s="4" t="s">
        <v>68</v>
      </c>
      <c r="G22" s="23" t="str">
        <f t="shared" si="4"/>
        <v>55622.8757</v>
      </c>
      <c r="H22" s="21">
        <f t="shared" si="5"/>
        <v>24413</v>
      </c>
      <c r="I22" s="54" t="s">
        <v>129</v>
      </c>
      <c r="J22" s="55" t="s">
        <v>130</v>
      </c>
      <c r="K22" s="54" t="s">
        <v>131</v>
      </c>
      <c r="L22" s="54" t="s">
        <v>132</v>
      </c>
      <c r="M22" s="55" t="s">
        <v>99</v>
      </c>
      <c r="N22" s="55" t="s">
        <v>68</v>
      </c>
      <c r="O22" s="56" t="s">
        <v>94</v>
      </c>
      <c r="P22" s="57" t="s">
        <v>133</v>
      </c>
    </row>
    <row r="23" spans="1:16" ht="12.75" customHeight="1" thickBot="1">
      <c r="A23" s="21" t="str">
        <f t="shared" si="0"/>
        <v>BAVM 220 </v>
      </c>
      <c r="B23" s="4" t="str">
        <f t="shared" si="1"/>
        <v>I</v>
      </c>
      <c r="C23" s="21">
        <f t="shared" si="2"/>
        <v>55646.411800000002</v>
      </c>
      <c r="D23" s="23" t="str">
        <f t="shared" si="3"/>
        <v>vis</v>
      </c>
      <c r="E23" s="53">
        <f>VLOOKUP(C23,Active!C$21:E$973,3,FALSE)</f>
        <v>24445.082943544006</v>
      </c>
      <c r="F23" s="4" t="s">
        <v>68</v>
      </c>
      <c r="G23" s="23" t="str">
        <f t="shared" si="4"/>
        <v>55646.4118</v>
      </c>
      <c r="H23" s="21">
        <f t="shared" si="5"/>
        <v>24445</v>
      </c>
      <c r="I23" s="54" t="s">
        <v>134</v>
      </c>
      <c r="J23" s="55" t="s">
        <v>135</v>
      </c>
      <c r="K23" s="54" t="s">
        <v>136</v>
      </c>
      <c r="L23" s="54" t="s">
        <v>137</v>
      </c>
      <c r="M23" s="55" t="s">
        <v>99</v>
      </c>
      <c r="N23" s="55" t="s">
        <v>121</v>
      </c>
      <c r="O23" s="56" t="s">
        <v>138</v>
      </c>
      <c r="P23" s="57" t="s">
        <v>139</v>
      </c>
    </row>
    <row r="24" spans="1:16" ht="12.75" customHeight="1" thickBot="1">
      <c r="A24" s="21" t="str">
        <f t="shared" si="0"/>
        <v>IBVS 6029 </v>
      </c>
      <c r="B24" s="4" t="str">
        <f t="shared" si="1"/>
        <v>I</v>
      </c>
      <c r="C24" s="21">
        <f t="shared" si="2"/>
        <v>55986.921300000002</v>
      </c>
      <c r="D24" s="23" t="str">
        <f t="shared" si="3"/>
        <v>vis</v>
      </c>
      <c r="E24" s="53">
        <f>VLOOKUP(C24,Active!C$21:E$973,3,FALSE)</f>
        <v>24908.084004133587</v>
      </c>
      <c r="F24" s="4" t="s">
        <v>68</v>
      </c>
      <c r="G24" s="23" t="str">
        <f t="shared" si="4"/>
        <v>55986.9213</v>
      </c>
      <c r="H24" s="21">
        <f t="shared" si="5"/>
        <v>24908</v>
      </c>
      <c r="I24" s="54" t="s">
        <v>140</v>
      </c>
      <c r="J24" s="55" t="s">
        <v>141</v>
      </c>
      <c r="K24" s="54" t="s">
        <v>142</v>
      </c>
      <c r="L24" s="54" t="s">
        <v>143</v>
      </c>
      <c r="M24" s="55" t="s">
        <v>99</v>
      </c>
      <c r="N24" s="55" t="s">
        <v>68</v>
      </c>
      <c r="O24" s="56" t="s">
        <v>94</v>
      </c>
      <c r="P24" s="57" t="s">
        <v>144</v>
      </c>
    </row>
    <row r="25" spans="1:16" ht="12.75" customHeight="1" thickBot="1">
      <c r="A25" s="21" t="str">
        <f t="shared" si="0"/>
        <v>BAVM 234 </v>
      </c>
      <c r="B25" s="4" t="str">
        <f t="shared" si="1"/>
        <v>I</v>
      </c>
      <c r="C25" s="21">
        <f t="shared" si="2"/>
        <v>56013.3969</v>
      </c>
      <c r="D25" s="23" t="str">
        <f t="shared" si="3"/>
        <v>vis</v>
      </c>
      <c r="E25" s="53">
        <f>VLOOKUP(C25,Active!C$21:E$973,3,FALSE)</f>
        <v>24944.083677798328</v>
      </c>
      <c r="F25" s="4" t="s">
        <v>68</v>
      </c>
      <c r="G25" s="23" t="str">
        <f t="shared" si="4"/>
        <v>56013.3969</v>
      </c>
      <c r="H25" s="21">
        <f t="shared" si="5"/>
        <v>24944</v>
      </c>
      <c r="I25" s="54" t="s">
        <v>145</v>
      </c>
      <c r="J25" s="55" t="s">
        <v>146</v>
      </c>
      <c r="K25" s="54" t="s">
        <v>147</v>
      </c>
      <c r="L25" s="54" t="s">
        <v>148</v>
      </c>
      <c r="M25" s="55" t="s">
        <v>99</v>
      </c>
      <c r="N25" s="55" t="s">
        <v>121</v>
      </c>
      <c r="O25" s="56" t="s">
        <v>127</v>
      </c>
      <c r="P25" s="57" t="s">
        <v>149</v>
      </c>
    </row>
    <row r="26" spans="1:16" ht="12.75" customHeight="1" thickBot="1">
      <c r="A26" s="21" t="str">
        <f t="shared" si="0"/>
        <v>IBVS 6029 </v>
      </c>
      <c r="B26" s="4" t="str">
        <f t="shared" si="1"/>
        <v>I</v>
      </c>
      <c r="C26" s="21">
        <f t="shared" si="2"/>
        <v>56034.722999999998</v>
      </c>
      <c r="D26" s="23" t="str">
        <f t="shared" si="3"/>
        <v>vis</v>
      </c>
      <c r="E26" s="53">
        <f>VLOOKUP(C26,Active!C$21:E$973,3,FALSE)</f>
        <v>24973.081420646147</v>
      </c>
      <c r="F26" s="4" t="s">
        <v>68</v>
      </c>
      <c r="G26" s="23" t="str">
        <f t="shared" si="4"/>
        <v>56034.7230</v>
      </c>
      <c r="H26" s="21">
        <f t="shared" si="5"/>
        <v>24973</v>
      </c>
      <c r="I26" s="54" t="s">
        <v>150</v>
      </c>
      <c r="J26" s="55" t="s">
        <v>151</v>
      </c>
      <c r="K26" s="54" t="s">
        <v>152</v>
      </c>
      <c r="L26" s="54" t="s">
        <v>153</v>
      </c>
      <c r="M26" s="55" t="s">
        <v>99</v>
      </c>
      <c r="N26" s="55" t="s">
        <v>68</v>
      </c>
      <c r="O26" s="56" t="s">
        <v>94</v>
      </c>
      <c r="P26" s="57" t="s">
        <v>144</v>
      </c>
    </row>
    <row r="27" spans="1:16" ht="12.75" customHeight="1" thickBot="1">
      <c r="A27" s="21" t="str">
        <f t="shared" si="0"/>
        <v>IBVS 6063 </v>
      </c>
      <c r="B27" s="4" t="str">
        <f t="shared" si="1"/>
        <v>I</v>
      </c>
      <c r="C27" s="21">
        <f t="shared" si="2"/>
        <v>56353.903299999998</v>
      </c>
      <c r="D27" s="23" t="str">
        <f t="shared" si="3"/>
        <v>vis</v>
      </c>
      <c r="E27" s="53" t="e">
        <f>VLOOKUP(C27,Active!C$21:E$973,3,FALSE)</f>
        <v>#N/A</v>
      </c>
      <c r="F27" s="4" t="s">
        <v>68</v>
      </c>
      <c r="G27" s="23" t="str">
        <f t="shared" si="4"/>
        <v>56353.9033</v>
      </c>
      <c r="H27" s="21">
        <f t="shared" si="5"/>
        <v>25407</v>
      </c>
      <c r="I27" s="54" t="s">
        <v>154</v>
      </c>
      <c r="J27" s="55" t="s">
        <v>155</v>
      </c>
      <c r="K27" s="54" t="s">
        <v>156</v>
      </c>
      <c r="L27" s="54" t="s">
        <v>157</v>
      </c>
      <c r="M27" s="55" t="s">
        <v>99</v>
      </c>
      <c r="N27" s="55" t="s">
        <v>158</v>
      </c>
      <c r="O27" s="56" t="s">
        <v>94</v>
      </c>
      <c r="P27" s="57" t="s">
        <v>159</v>
      </c>
    </row>
    <row r="28" spans="1:16" ht="12.75" customHeight="1" thickBot="1">
      <c r="A28" s="21" t="str">
        <f t="shared" si="0"/>
        <v>IBVS 6063 </v>
      </c>
      <c r="B28" s="4" t="str">
        <f t="shared" si="1"/>
        <v>I</v>
      </c>
      <c r="C28" s="21">
        <f t="shared" si="2"/>
        <v>56353.904399999999</v>
      </c>
      <c r="D28" s="23" t="str">
        <f t="shared" si="3"/>
        <v>vis</v>
      </c>
      <c r="E28" s="53" t="e">
        <f>VLOOKUP(C28,Active!C$21:E$973,3,FALSE)</f>
        <v>#N/A</v>
      </c>
      <c r="F28" s="4" t="s">
        <v>68</v>
      </c>
      <c r="G28" s="23" t="str">
        <f t="shared" si="4"/>
        <v>56353.9044</v>
      </c>
      <c r="H28" s="21">
        <f t="shared" si="5"/>
        <v>25407</v>
      </c>
      <c r="I28" s="54" t="s">
        <v>160</v>
      </c>
      <c r="J28" s="55" t="s">
        <v>161</v>
      </c>
      <c r="K28" s="54" t="s">
        <v>156</v>
      </c>
      <c r="L28" s="54" t="s">
        <v>162</v>
      </c>
      <c r="M28" s="55" t="s">
        <v>99</v>
      </c>
      <c r="N28" s="55" t="s">
        <v>68</v>
      </c>
      <c r="O28" s="56" t="s">
        <v>94</v>
      </c>
      <c r="P28" s="57" t="s">
        <v>159</v>
      </c>
    </row>
    <row r="29" spans="1:16" ht="12.75" customHeight="1" thickBot="1">
      <c r="A29" s="21" t="str">
        <f t="shared" si="0"/>
        <v>IBVS 6063 </v>
      </c>
      <c r="B29" s="4" t="str">
        <f t="shared" si="1"/>
        <v>I</v>
      </c>
      <c r="C29" s="21">
        <f t="shared" si="2"/>
        <v>56353.905200000001</v>
      </c>
      <c r="D29" s="23" t="str">
        <f t="shared" si="3"/>
        <v>vis</v>
      </c>
      <c r="E29" s="53" t="e">
        <f>VLOOKUP(C29,Active!C$21:E$973,3,FALSE)</f>
        <v>#N/A</v>
      </c>
      <c r="F29" s="4" t="s">
        <v>68</v>
      </c>
      <c r="G29" s="23" t="str">
        <f t="shared" si="4"/>
        <v>56353.9052</v>
      </c>
      <c r="H29" s="21">
        <f t="shared" si="5"/>
        <v>25407</v>
      </c>
      <c r="I29" s="54" t="s">
        <v>163</v>
      </c>
      <c r="J29" s="55" t="s">
        <v>164</v>
      </c>
      <c r="K29" s="54" t="s">
        <v>156</v>
      </c>
      <c r="L29" s="54" t="s">
        <v>165</v>
      </c>
      <c r="M29" s="55" t="s">
        <v>99</v>
      </c>
      <c r="N29" s="55" t="s">
        <v>166</v>
      </c>
      <c r="O29" s="56" t="s">
        <v>94</v>
      </c>
      <c r="P29" s="57" t="s">
        <v>159</v>
      </c>
    </row>
    <row r="30" spans="1:16">
      <c r="B30" s="4"/>
      <c r="F30" s="4"/>
    </row>
    <row r="31" spans="1:16">
      <c r="B31" s="4"/>
      <c r="F31" s="4"/>
    </row>
    <row r="32" spans="1:1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</sheetData>
  <phoneticPr fontId="8" type="noConversion"/>
  <hyperlinks>
    <hyperlink ref="P11" r:id="rId1" display="http://www.konkoly.hu/cgi-bin/IBVS?4888"/>
    <hyperlink ref="P12" r:id="rId2" display="http://www.konkoly.hu/cgi-bin/IBVS?5287"/>
    <hyperlink ref="P13" r:id="rId3" display="http://www.konkoly.hu/cgi-bin/IBVS?5583"/>
    <hyperlink ref="P14" r:id="rId4" display="http://www.konkoly.hu/cgi-bin/IBVS?5592"/>
    <hyperlink ref="P15" r:id="rId5" display="http://www.konkoly.hu/cgi-bin/IBVS?5713"/>
    <hyperlink ref="P16" r:id="rId6" display="http://www.bav-astro.de/sfs/BAVM_link.php?BAVMnr=186"/>
    <hyperlink ref="P17" r:id="rId7" display="http://www.bav-astro.de/sfs/BAVM_link.php?BAVMnr=186"/>
    <hyperlink ref="P18" r:id="rId8" display="http://www.konkoly.hu/cgi-bin/IBVS?5894"/>
    <hyperlink ref="P19" r:id="rId9" display="http://www.bav-astro.de/sfs/BAVM_link.php?BAVMnr=209"/>
    <hyperlink ref="P20" r:id="rId10" display="http://www.bav-astro.de/sfs/BAVM_link.php?BAVMnr=209"/>
    <hyperlink ref="P21" r:id="rId11" display="http://www.bav-astro.de/sfs/BAVM_link.php?BAVMnr=214"/>
    <hyperlink ref="P22" r:id="rId12" display="http://www.konkoly.hu/cgi-bin/IBVS?5992"/>
    <hyperlink ref="P23" r:id="rId13" display="http://www.bav-astro.de/sfs/BAVM_link.php?BAVMnr=220"/>
    <hyperlink ref="P24" r:id="rId14" display="http://www.konkoly.hu/cgi-bin/IBVS?6029"/>
    <hyperlink ref="P25" r:id="rId15" display="http://www.bav-astro.de/sfs/BAVM_link.php?BAVMnr=234"/>
    <hyperlink ref="P26" r:id="rId16" display="http://www.konkoly.hu/cgi-bin/IBVS?6029"/>
    <hyperlink ref="P27" r:id="rId17" display="http://www.konkoly.hu/cgi-bin/IBVS?6063"/>
    <hyperlink ref="P28" r:id="rId18" display="http://www.konkoly.hu/cgi-bin/IBVS?6063"/>
    <hyperlink ref="P29" r:id="rId19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2024-01-30T02:14:31Z</dcterms:modified>
</cp:coreProperties>
</file>