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E8A3F7-83F8-4B3F-95B1-CB5122616F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2" i="1" l="1"/>
  <c r="E72" i="1"/>
  <c r="F72" i="1"/>
  <c r="G72" i="1"/>
  <c r="K72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E36" i="1"/>
  <c r="F36" i="1"/>
  <c r="G36" i="1"/>
  <c r="J36" i="1"/>
  <c r="E37" i="1"/>
  <c r="F37" i="1"/>
  <c r="G37" i="1"/>
  <c r="J37" i="1"/>
  <c r="E39" i="1"/>
  <c r="F39" i="1"/>
  <c r="G39" i="1"/>
  <c r="J39" i="1"/>
  <c r="E40" i="1"/>
  <c r="F40" i="1"/>
  <c r="G40" i="1"/>
  <c r="J40" i="1"/>
  <c r="E42" i="1"/>
  <c r="F42" i="1"/>
  <c r="G42" i="1"/>
  <c r="J42" i="1"/>
  <c r="E43" i="1"/>
  <c r="F43" i="1"/>
  <c r="G43" i="1"/>
  <c r="J43" i="1"/>
  <c r="E47" i="1"/>
  <c r="F47" i="1"/>
  <c r="G47" i="1"/>
  <c r="J47" i="1"/>
  <c r="E50" i="1"/>
  <c r="F50" i="1"/>
  <c r="G50" i="1"/>
  <c r="J50" i="1"/>
  <c r="E52" i="1"/>
  <c r="F52" i="1"/>
  <c r="G52" i="1"/>
  <c r="J52" i="1"/>
  <c r="E53" i="1"/>
  <c r="F53" i="1"/>
  <c r="G53" i="1"/>
  <c r="J53" i="1"/>
  <c r="E54" i="1"/>
  <c r="F54" i="1"/>
  <c r="G54" i="1"/>
  <c r="J54" i="1"/>
  <c r="E55" i="1"/>
  <c r="F55" i="1"/>
  <c r="G55" i="1"/>
  <c r="J55" i="1"/>
  <c r="E59" i="1"/>
  <c r="F59" i="1"/>
  <c r="G59" i="1"/>
  <c r="J59" i="1"/>
  <c r="E61" i="1"/>
  <c r="F61" i="1"/>
  <c r="G61" i="1"/>
  <c r="J61" i="1"/>
  <c r="E63" i="1"/>
  <c r="F63" i="1"/>
  <c r="G63" i="1"/>
  <c r="J63" i="1"/>
  <c r="E64" i="1"/>
  <c r="F64" i="1"/>
  <c r="G64" i="1"/>
  <c r="J64" i="1"/>
  <c r="E65" i="1"/>
  <c r="F65" i="1"/>
  <c r="G65" i="1"/>
  <c r="J65" i="1"/>
  <c r="E66" i="1"/>
  <c r="F66" i="1"/>
  <c r="G66" i="1"/>
  <c r="J66" i="1"/>
  <c r="E69" i="1"/>
  <c r="F69" i="1"/>
  <c r="G69" i="1"/>
  <c r="J69" i="1"/>
  <c r="E70" i="1"/>
  <c r="F70" i="1"/>
  <c r="U70" i="1"/>
  <c r="E71" i="1"/>
  <c r="F71" i="1"/>
  <c r="U71" i="1"/>
  <c r="E49" i="1"/>
  <c r="F49" i="1"/>
  <c r="G49" i="1"/>
  <c r="K49" i="1"/>
  <c r="E51" i="1"/>
  <c r="F51" i="1"/>
  <c r="G51" i="1"/>
  <c r="K51" i="1"/>
  <c r="E56" i="1"/>
  <c r="F56" i="1"/>
  <c r="G56" i="1"/>
  <c r="K56" i="1"/>
  <c r="E57" i="1"/>
  <c r="F57" i="1"/>
  <c r="G57" i="1"/>
  <c r="K57" i="1"/>
  <c r="E58" i="1"/>
  <c r="F58" i="1"/>
  <c r="G58" i="1"/>
  <c r="K58" i="1"/>
  <c r="E60" i="1"/>
  <c r="F60" i="1"/>
  <c r="G60" i="1"/>
  <c r="K60" i="1"/>
  <c r="E62" i="1"/>
  <c r="F62" i="1"/>
  <c r="G62" i="1"/>
  <c r="K62" i="1"/>
  <c r="E67" i="1"/>
  <c r="F67" i="1"/>
  <c r="G67" i="1"/>
  <c r="K67" i="1"/>
  <c r="E68" i="1"/>
  <c r="F68" i="1"/>
  <c r="G68" i="1"/>
  <c r="K68" i="1"/>
  <c r="E46" i="1"/>
  <c r="F46" i="1"/>
  <c r="G46" i="1"/>
  <c r="K46" i="1"/>
  <c r="E48" i="1"/>
  <c r="F48" i="1"/>
  <c r="G48" i="1"/>
  <c r="K48" i="1"/>
  <c r="E35" i="1"/>
  <c r="F35" i="1"/>
  <c r="G35" i="1"/>
  <c r="J3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31" i="1"/>
  <c r="F31" i="1"/>
  <c r="G31" i="1"/>
  <c r="I31" i="1"/>
  <c r="E44" i="1"/>
  <c r="F44" i="1"/>
  <c r="G44" i="1"/>
  <c r="I44" i="1"/>
  <c r="D9" i="1"/>
  <c r="C9" i="1"/>
  <c r="E33" i="1"/>
  <c r="F33" i="1"/>
  <c r="G33" i="1"/>
  <c r="E34" i="1"/>
  <c r="F34" i="1"/>
  <c r="G34" i="1"/>
  <c r="E38" i="1"/>
  <c r="F38" i="1"/>
  <c r="G38" i="1"/>
  <c r="K38" i="1"/>
  <c r="E41" i="1"/>
  <c r="F41" i="1"/>
  <c r="G41" i="1"/>
  <c r="K41" i="1"/>
  <c r="E45" i="1"/>
  <c r="F45" i="1"/>
  <c r="G45" i="1"/>
  <c r="K45" i="1"/>
  <c r="Q70" i="1"/>
  <c r="Q71" i="1"/>
  <c r="Q21" i="1"/>
  <c r="Q22" i="1"/>
  <c r="Q23" i="1"/>
  <c r="Q24" i="1"/>
  <c r="Q25" i="1"/>
  <c r="Q27" i="1"/>
  <c r="Q31" i="1"/>
  <c r="Q44" i="1"/>
  <c r="G19" i="2"/>
  <c r="C19" i="2"/>
  <c r="E19" i="2"/>
  <c r="G18" i="2"/>
  <c r="C18" i="2"/>
  <c r="E18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61" i="2"/>
  <c r="C61" i="2"/>
  <c r="E6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7" i="2"/>
  <c r="C17" i="2"/>
  <c r="E17" i="2"/>
  <c r="G16" i="2"/>
  <c r="C16" i="2"/>
  <c r="E16" i="2"/>
  <c r="G15" i="2"/>
  <c r="C15" i="2"/>
  <c r="E15" i="2"/>
  <c r="G60" i="2"/>
  <c r="C60" i="2"/>
  <c r="E60" i="2"/>
  <c r="G14" i="2"/>
  <c r="C14" i="2"/>
  <c r="E14" i="2"/>
  <c r="G13" i="2"/>
  <c r="C13" i="2"/>
  <c r="E13" i="2"/>
  <c r="G12" i="2"/>
  <c r="C12" i="2"/>
  <c r="E12" i="2"/>
  <c r="G59" i="2"/>
  <c r="C59" i="2"/>
  <c r="E59" i="2"/>
  <c r="G11" i="2"/>
  <c r="C11" i="2"/>
  <c r="E11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H19" i="2"/>
  <c r="B19" i="2"/>
  <c r="D19" i="2"/>
  <c r="A19" i="2"/>
  <c r="H18" i="2"/>
  <c r="D18" i="2"/>
  <c r="B18" i="2"/>
  <c r="A18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61" i="2"/>
  <c r="D61" i="2"/>
  <c r="B61" i="2"/>
  <c r="A6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7" i="2"/>
  <c r="D17" i="2"/>
  <c r="B17" i="2"/>
  <c r="A17" i="2"/>
  <c r="H16" i="2"/>
  <c r="B16" i="2"/>
  <c r="D16" i="2"/>
  <c r="A16" i="2"/>
  <c r="H15" i="2"/>
  <c r="D15" i="2"/>
  <c r="B15" i="2"/>
  <c r="A15" i="2"/>
  <c r="H60" i="2"/>
  <c r="B60" i="2"/>
  <c r="D60" i="2"/>
  <c r="A60" i="2"/>
  <c r="H14" i="2"/>
  <c r="D14" i="2"/>
  <c r="B14" i="2"/>
  <c r="A14" i="2"/>
  <c r="H13" i="2"/>
  <c r="B13" i="2"/>
  <c r="D13" i="2"/>
  <c r="A13" i="2"/>
  <c r="H12" i="2"/>
  <c r="D12" i="2"/>
  <c r="B12" i="2"/>
  <c r="A12" i="2"/>
  <c r="H59" i="2"/>
  <c r="B59" i="2"/>
  <c r="D59" i="2"/>
  <c r="A59" i="2"/>
  <c r="H11" i="2"/>
  <c r="D11" i="2"/>
  <c r="B11" i="2"/>
  <c r="A11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Q69" i="1"/>
  <c r="Q62" i="1"/>
  <c r="Q67" i="1"/>
  <c r="Q68" i="1"/>
  <c r="Q52" i="1"/>
  <c r="Q53" i="1"/>
  <c r="Q54" i="1"/>
  <c r="Q55" i="1"/>
  <c r="Q59" i="1"/>
  <c r="Q60" i="1"/>
  <c r="Q61" i="1"/>
  <c r="Q63" i="1"/>
  <c r="Q64" i="1"/>
  <c r="Q65" i="1"/>
  <c r="Q66" i="1"/>
  <c r="F16" i="1"/>
  <c r="F17" i="1" s="1"/>
  <c r="C17" i="1"/>
  <c r="Q58" i="1"/>
  <c r="Q51" i="1"/>
  <c r="Q56" i="1"/>
  <c r="Q57" i="1"/>
  <c r="Q26" i="1"/>
  <c r="Q28" i="1"/>
  <c r="Q29" i="1"/>
  <c r="Q30" i="1"/>
  <c r="Q50" i="1"/>
  <c r="Q45" i="1"/>
  <c r="Q41" i="1"/>
  <c r="Q47" i="1"/>
  <c r="Q48" i="1"/>
  <c r="Q46" i="1"/>
  <c r="Q49" i="1"/>
  <c r="Q32" i="1"/>
  <c r="Q38" i="1"/>
  <c r="Q40" i="1"/>
  <c r="Q42" i="1"/>
  <c r="Q43" i="1"/>
  <c r="K34" i="1"/>
  <c r="Q34" i="1"/>
  <c r="Q35" i="1"/>
  <c r="Q36" i="1"/>
  <c r="Q37" i="1"/>
  <c r="Q39" i="1"/>
  <c r="Q33" i="1"/>
  <c r="K33" i="1"/>
  <c r="C11" i="1"/>
  <c r="C12" i="1"/>
  <c r="C16" i="1" l="1"/>
  <c r="D18" i="1" s="1"/>
  <c r="O71" i="1"/>
  <c r="O32" i="1"/>
  <c r="O67" i="1"/>
  <c r="O36" i="1"/>
  <c r="O25" i="1"/>
  <c r="O37" i="1"/>
  <c r="O33" i="1"/>
  <c r="O52" i="1"/>
  <c r="O21" i="1"/>
  <c r="O22" i="1"/>
  <c r="O24" i="1"/>
  <c r="O40" i="1"/>
  <c r="O66" i="1"/>
  <c r="O68" i="1"/>
  <c r="O42" i="1"/>
  <c r="O49" i="1"/>
  <c r="O43" i="1"/>
  <c r="O54" i="1"/>
  <c r="O56" i="1"/>
  <c r="O48" i="1"/>
  <c r="O72" i="1"/>
  <c r="O27" i="1"/>
  <c r="O62" i="1"/>
  <c r="O39" i="1"/>
  <c r="C15" i="1"/>
  <c r="O31" i="1"/>
  <c r="O45" i="1"/>
  <c r="O51" i="1"/>
  <c r="O23" i="1"/>
  <c r="O55" i="1"/>
  <c r="O61" i="1"/>
  <c r="O58" i="1"/>
  <c r="O47" i="1"/>
  <c r="O57" i="1"/>
  <c r="O59" i="1"/>
  <c r="O69" i="1"/>
  <c r="O63" i="1"/>
  <c r="O28" i="1"/>
  <c r="O41" i="1"/>
  <c r="O64" i="1"/>
  <c r="O53" i="1"/>
  <c r="O70" i="1"/>
  <c r="O65" i="1"/>
  <c r="O44" i="1"/>
  <c r="O30" i="1"/>
  <c r="O60" i="1"/>
  <c r="O29" i="1"/>
  <c r="O35" i="1"/>
  <c r="O38" i="1"/>
  <c r="O34" i="1"/>
  <c r="O46" i="1"/>
  <c r="O26" i="1"/>
  <c r="O50" i="1"/>
  <c r="C18" i="1" l="1"/>
  <c r="F18" i="1"/>
  <c r="F19" i="1" s="1"/>
</calcChain>
</file>

<file path=xl/sharedStrings.xml><?xml version="1.0" encoding="utf-8"?>
<sst xmlns="http://schemas.openxmlformats.org/spreadsheetml/2006/main" count="604" uniqueCount="304">
  <si>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</si>
  <si>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</si>
  <si>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</si>
  <si>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</si>
  <si>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</si>
  <si>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</si>
  <si>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</si>
  <si>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</si>
  <si>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</si>
  <si>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</si>
  <si>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</si>
  <si>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</si>
  <si>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</si>
  <si>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</si>
  <si>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</si>
  <si>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</si>
  <si>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</si>
  <si>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</si>
  <si>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</si>
  <si>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</si>
  <si>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</si>
  <si>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</si>
  <si>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</si>
  <si>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</si>
  <si>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</si>
  <si>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</si>
  <si>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</si>
  <si>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</si>
  <si>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II</t>
  </si>
  <si>
    <t>I</t>
  </si>
  <si>
    <t>IBVS 5643</t>
  </si>
  <si>
    <t>IBVS 5657</t>
  </si>
  <si>
    <t>VSX period for</t>
  </si>
  <si>
    <t>ASAS 123305+2708.1</t>
  </si>
  <si>
    <t>not avail.</t>
  </si>
  <si>
    <t>EW</t>
  </si>
  <si>
    <t>LP Com / GSC 1991-1633</t>
  </si>
  <si>
    <t>IBVS 5438</t>
  </si>
  <si>
    <t>IBVS 5653</t>
  </si>
  <si>
    <t>IBVS 5713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</si>
  <si>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</si>
  <si>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</si>
  <si>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</si>
  <si>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</si>
  <si>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</si>
  <si>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</si>
  <si>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</si>
  <si>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</si>
  <si>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</si>
  <si>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IBVS 5814</t>
  </si>
  <si>
    <t>Start of linear fit &gt;&gt;&gt;&gt;&gt;&gt;&gt;&gt;&gt;&gt;&gt;&gt;&gt;&gt;&gt;&gt;&gt;&gt;&gt;&gt;&gt;</t>
  </si>
  <si>
    <t>IBVS 5837</t>
  </si>
  <si>
    <t>IBVS 5894</t>
  </si>
  <si>
    <t>OEJV 0074</t>
  </si>
  <si>
    <t>IBVS 5875</t>
  </si>
  <si>
    <t>IBVS 5945</t>
  </si>
  <si>
    <t>Add cycle</t>
  </si>
  <si>
    <t>Old Cycle</t>
  </si>
  <si>
    <t>IBVS 5918</t>
  </si>
  <si>
    <t>IBVS 5959</t>
  </si>
  <si>
    <t>IBVS 5992</t>
  </si>
  <si>
    <t>IBVS 6010</t>
  </si>
  <si>
    <t>IBVS 6018</t>
  </si>
  <si>
    <t>IBVS 6029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</si>
  <si>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</si>
  <si>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</si>
  <si>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</si>
  <si>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</si>
  <si>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</si>
  <si>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</si>
  <si>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</si>
  <si>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</si>
  <si>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</si>
  <si>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</si>
  <si>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</si>
  <si>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</si>
  <si>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2451951.4409 </t>
  </si>
  <si>
    <t> 10.02.2001 22:34 </t>
  </si>
  <si>
    <t> 0.0119 </t>
  </si>
  <si>
    <t>E </t>
  </si>
  <si>
    <t>?</t>
  </si>
  <si>
    <t> E.Blättler </t>
  </si>
  <si>
    <t> BBS 125 </t>
  </si>
  <si>
    <t>2451951.6138 </t>
  </si>
  <si>
    <t> 11.02.2001 02:43 </t>
  </si>
  <si>
    <t> 0.0158 </t>
  </si>
  <si>
    <t>2451959.3850 </t>
  </si>
  <si>
    <t> 18.02.2001 21:14 </t>
  </si>
  <si>
    <t> 0.0145 </t>
  </si>
  <si>
    <t>2451967.3285 </t>
  </si>
  <si>
    <t> 26.02.2001 19:53 </t>
  </si>
  <si>
    <t> 0.0166 </t>
  </si>
  <si>
    <t>2451967.4993 </t>
  </si>
  <si>
    <t> 26.02.2001 23:58 </t>
  </si>
  <si>
    <t> 0.0184 </t>
  </si>
  <si>
    <t>2451968.51166 </t>
  </si>
  <si>
    <t> 28.02.2001 00:16 </t>
  </si>
  <si>
    <t> 0.01694 </t>
  </si>
  <si>
    <t>C </t>
  </si>
  <si>
    <t>o</t>
  </si>
  <si>
    <t> J.Šafár </t>
  </si>
  <si>
    <t>OEJV 0074 </t>
  </si>
  <si>
    <t>2451984.5609 </t>
  </si>
  <si>
    <t> 16.03.2001 01:27 </t>
  </si>
  <si>
    <t> 0.0143 </t>
  </si>
  <si>
    <t>2452001.46011 </t>
  </si>
  <si>
    <t> 01.04.2001 23:02 </t>
  </si>
  <si>
    <t> 0.01676 </t>
  </si>
  <si>
    <t>2452001.62938 </t>
  </si>
  <si>
    <t> 02.04.2001 03:06 </t>
  </si>
  <si>
    <t> 0.01706 </t>
  </si>
  <si>
    <t>2452027.47943 </t>
  </si>
  <si>
    <t> 27.04.2001 23:30 </t>
  </si>
  <si>
    <t> 0.01511 </t>
  </si>
  <si>
    <t>2452363.3867 </t>
  </si>
  <si>
    <t> 29.03.2002 21:16 </t>
  </si>
  <si>
    <t> 0.0153 </t>
  </si>
  <si>
    <t> BBS 128 </t>
  </si>
  <si>
    <t>2452691.5182 </t>
  </si>
  <si>
    <t> 21.02.2003 00:26 </t>
  </si>
  <si>
    <t> 0.0122 </t>
  </si>
  <si>
    <t> BBS 129 </t>
  </si>
  <si>
    <t>2453068.3127 </t>
  </si>
  <si>
    <t> 03.03.2004 19:30 </t>
  </si>
  <si>
    <t> 0.0095 </t>
  </si>
  <si>
    <t> BBS 130 </t>
  </si>
  <si>
    <t>2453068.4871 </t>
  </si>
  <si>
    <t> 03.03.2004 23:41 </t>
  </si>
  <si>
    <t> 0.0149 </t>
  </si>
  <si>
    <t>2453095.5201 </t>
  </si>
  <si>
    <t> 31.03.2004 00:28 </t>
  </si>
  <si>
    <t> 0.0132 </t>
  </si>
  <si>
    <t> F.Agerer </t>
  </si>
  <si>
    <t>BAVM 172 </t>
  </si>
  <si>
    <t>2453462.3453 </t>
  </si>
  <si>
    <t> 01.04.2005 20:17 </t>
  </si>
  <si>
    <t> 0.0102 </t>
  </si>
  <si>
    <t>-I</t>
  </si>
  <si>
    <t>BAVM 173 </t>
  </si>
  <si>
    <t>2453462.5141 </t>
  </si>
  <si>
    <t> 02.04.2005 00:20 </t>
  </si>
  <si>
    <t>2848</t>
  </si>
  <si>
    <t> 0.0101 </t>
  </si>
  <si>
    <t>2453464.3749 </t>
  </si>
  <si>
    <t> 03.04.2005 20:59 </t>
  </si>
  <si>
    <t>2853.5</t>
  </si>
  <si>
    <t>IBVS 5653 </t>
  </si>
  <si>
    <t>2453476.5394 </t>
  </si>
  <si>
    <t> 16.04.2005 00:56 </t>
  </si>
  <si>
    <t>2889.5</t>
  </si>
  <si>
    <t> 0.0111 </t>
  </si>
  <si>
    <t>2453788.4521 </t>
  </si>
  <si>
    <t> 21.02.2006 22:51 </t>
  </si>
  <si>
    <t>3812.5</t>
  </si>
  <si>
    <t>IBVS 5713 </t>
  </si>
  <si>
    <t>2453811.7679 </t>
  </si>
  <si>
    <t> 17.03.2006 06:25 </t>
  </si>
  <si>
    <t>3881.5</t>
  </si>
  <si>
    <t> 0.0084 </t>
  </si>
  <si>
    <t> S.Dvorak </t>
  </si>
  <si>
    <t>IBVS 5814 </t>
  </si>
  <si>
    <t>2453845.3888 </t>
  </si>
  <si>
    <t> 19.04.2006 21:19 </t>
  </si>
  <si>
    <t>3981</t>
  </si>
  <si>
    <t> 0.0048 </t>
  </si>
  <si>
    <t> H.Jungbluth </t>
  </si>
  <si>
    <t>BAVM 178 </t>
  </si>
  <si>
    <t>2453863.4641 </t>
  </si>
  <si>
    <t> 07.05.2006 23:08 </t>
  </si>
  <si>
    <t>4034.5</t>
  </si>
  <si>
    <t> 0.0006 </t>
  </si>
  <si>
    <t> P.Frank </t>
  </si>
  <si>
    <t>2454097.3217 </t>
  </si>
  <si>
    <t> 27.12.2006 19:43 </t>
  </si>
  <si>
    <t>4726.5</t>
  </si>
  <si>
    <t> 0.0073 </t>
  </si>
  <si>
    <t> K.Nagai et al. </t>
  </si>
  <si>
    <t>VSB 45 </t>
  </si>
  <si>
    <t>2454149.7013 </t>
  </si>
  <si>
    <t> 18.02.2007 04:49 </t>
  </si>
  <si>
    <t>4881.5</t>
  </si>
  <si>
    <t> 0.0071 </t>
  </si>
  <si>
    <t>2454170.4792 </t>
  </si>
  <si>
    <t> 10.03.2007 23:30 </t>
  </si>
  <si>
    <t>4943</t>
  </si>
  <si>
    <t> 0.0020 </t>
  </si>
  <si>
    <t> BBS 133 (=IBVS 5781) </t>
  </si>
  <si>
    <t>2454174.5358 </t>
  </si>
  <si>
    <t> 15.03.2007 00:51 </t>
  </si>
  <si>
    <t>4955</t>
  </si>
  <si>
    <t> 0.0034 </t>
  </si>
  <si>
    <t>BAVM 186 </t>
  </si>
  <si>
    <t>2454200.3910 </t>
  </si>
  <si>
    <t> 09.04.2007 21:23 </t>
  </si>
  <si>
    <t>5031.5</t>
  </si>
  <si>
    <t> 0.0066 </t>
  </si>
  <si>
    <t> R.Diethelm </t>
  </si>
  <si>
    <t>2454512.8055 </t>
  </si>
  <si>
    <t> 16.02.2008 07:19 </t>
  </si>
  <si>
    <t>5956</t>
  </si>
  <si>
    <t> 0.0004 </t>
  </si>
  <si>
    <t> R.Nelson </t>
  </si>
  <si>
    <t>IBVS 5875 </t>
  </si>
  <si>
    <t>2454564.3386 </t>
  </si>
  <si>
    <t> 07.04.2008 20:07 </t>
  </si>
  <si>
    <t>6108.5</t>
  </si>
  <si>
    <t> -0.0015 </t>
  </si>
  <si>
    <t>IBVS 5837 </t>
  </si>
  <si>
    <t>2454874.908 </t>
  </si>
  <si>
    <t> 12.02.2009 09:47 </t>
  </si>
  <si>
    <t>7027.5</t>
  </si>
  <si>
    <t> 0.006 </t>
  </si>
  <si>
    <t>IBVS 5894 </t>
  </si>
  <si>
    <t>2454933.3659 </t>
  </si>
  <si>
    <t> 11.04.2009 20:46 </t>
  </si>
  <si>
    <t>7200.5</t>
  </si>
  <si>
    <t> 0.0011 </t>
  </si>
  <si>
    <t>BAVM 209 </t>
  </si>
  <si>
    <t>2454933.5335 </t>
  </si>
  <si>
    <t> 12.04.2009 00:48 </t>
  </si>
  <si>
    <t>7201</t>
  </si>
  <si>
    <t> -0.0003 </t>
  </si>
  <si>
    <t>2454937.4205 </t>
  </si>
  <si>
    <t> 15.04.2009 22:05 </t>
  </si>
  <si>
    <t>7212.5</t>
  </si>
  <si>
    <t> 0.0005 </t>
  </si>
  <si>
    <t>2454937.5879 </t>
  </si>
  <si>
    <t> 16.04.2009 02:06 </t>
  </si>
  <si>
    <t>7213</t>
  </si>
  <si>
    <t> -0.0011 </t>
  </si>
  <si>
    <t>2454955.6682 </t>
  </si>
  <si>
    <t> 04.05.2009 04:02 </t>
  </si>
  <si>
    <t>7266.5</t>
  </si>
  <si>
    <t>2454996.3853 </t>
  </si>
  <si>
    <t> 13.06.2009 21:14 </t>
  </si>
  <si>
    <t>7387</t>
  </si>
  <si>
    <t> -0.0043 </t>
  </si>
  <si>
    <t>2455276.7103 </t>
  </si>
  <si>
    <t> 21.03.2010 05:02 </t>
  </si>
  <si>
    <t>8216.5</t>
  </si>
  <si>
    <t> 0.0038 </t>
  </si>
  <si>
    <t>IBVS 5945 </t>
  </si>
  <si>
    <t>2455310.5025 </t>
  </si>
  <si>
    <t> 24.04.2010 00:03 </t>
  </si>
  <si>
    <t>8316.5</t>
  </si>
  <si>
    <t> 0.0026 </t>
  </si>
  <si>
    <t>BAVM 214 </t>
  </si>
  <si>
    <t>2455616.8337 </t>
  </si>
  <si>
    <t> 24.02.2011 08:00 </t>
  </si>
  <si>
    <t>9223</t>
  </si>
  <si>
    <t> -0.0040 </t>
  </si>
  <si>
    <t>IBVS 5992 </t>
  </si>
  <si>
    <t>2455646.5743 </t>
  </si>
  <si>
    <t> 26.03.2011 01:46 </t>
  </si>
  <si>
    <t>9311</t>
  </si>
  <si>
    <t> -0.0017 </t>
  </si>
  <si>
    <t> U.Schmidt </t>
  </si>
  <si>
    <t>BAVM 220 </t>
  </si>
  <si>
    <t>2455646.7451 </t>
  </si>
  <si>
    <t> 26.03.2011 05:52 </t>
  </si>
  <si>
    <t>9311.5</t>
  </si>
  <si>
    <t> 0.0001 </t>
  </si>
  <si>
    <t>IBVS 6018 </t>
  </si>
  <si>
    <t>2455662.4597 </t>
  </si>
  <si>
    <t> 10.04.2011 23:01 </t>
  </si>
  <si>
    <t>9358</t>
  </si>
  <si>
    <t> 0.0008 </t>
  </si>
  <si>
    <t>2455669.3850 </t>
  </si>
  <si>
    <t> 17.04.2011 21:14 </t>
  </si>
  <si>
    <t>9378.5</t>
  </si>
  <si>
    <t> -0.0016 </t>
  </si>
  <si>
    <t>2455669.5580 </t>
  </si>
  <si>
    <t> 18.04.2011 01:23 </t>
  </si>
  <si>
    <t>9379</t>
  </si>
  <si>
    <t> 0.0024 </t>
  </si>
  <si>
    <t>2455675.4728 </t>
  </si>
  <si>
    <t> 23.04.2011 23:20 </t>
  </si>
  <si>
    <t>9396.5</t>
  </si>
  <si>
    <t>2455984.8448 </t>
  </si>
  <si>
    <t> 27.02.2012 08:16 </t>
  </si>
  <si>
    <t>10312</t>
  </si>
  <si>
    <t> -0.0038 </t>
  </si>
  <si>
    <t>IBVS 6029 </t>
  </si>
  <si>
    <t>2456047.7010 </t>
  </si>
  <si>
    <t> 30.04.2012 04:49 </t>
  </si>
  <si>
    <t>10498</t>
  </si>
  <si>
    <t> -0.0035 </t>
  </si>
  <si>
    <t>2456061.3935 </t>
  </si>
  <si>
    <t> 13.05.2012 21:26 </t>
  </si>
  <si>
    <t>10538.5</t>
  </si>
  <si>
    <t> 0.0027 </t>
  </si>
  <si>
    <t>BAVM 231 </t>
  </si>
  <si>
    <t>2457100.3837 </t>
  </si>
  <si>
    <t> 18.03.2015 21:12 </t>
  </si>
  <si>
    <t>13613</t>
  </si>
  <si>
    <t> 0.0126 </t>
  </si>
  <si>
    <t>BAVM 241 (=IBVS 6157) </t>
  </si>
  <si>
    <t>2457100.5442 </t>
  </si>
  <si>
    <t> 19.03.2015 01:03 </t>
  </si>
  <si>
    <t>13613.5</t>
  </si>
  <si>
    <t> 0.0042 </t>
  </si>
  <si>
    <t>IBVS 6157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</si>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</sst>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Com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64465087074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1-4CB0-825B-1E3AEF0EC1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-1.1973999993642792E-2</c:v>
                </c:pt>
                <c:pt idx="1">
                  <c:v>-8.0400000006193295E-3</c:v>
                </c:pt>
                <c:pt idx="2">
                  <c:v>-9.2759999970439821E-3</c:v>
                </c:pt>
                <c:pt idx="3">
                  <c:v>-7.1779999925638549E-3</c:v>
                </c:pt>
                <c:pt idx="4">
                  <c:v>-5.3439999974216335E-3</c:v>
                </c:pt>
                <c:pt idx="6">
                  <c:v>-9.3100000012782402E-3</c:v>
                </c:pt>
                <c:pt idx="10">
                  <c:v>-5.2819999982602894E-3</c:v>
                </c:pt>
                <c:pt idx="23">
                  <c:v>6.2600000092061237E-4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1-4CB0-825B-1E3AEF0EC1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-1.5599999969708733E-3</c:v>
                </c:pt>
                <c:pt idx="15">
                  <c:v>-1.5459999995073304E-3</c:v>
                </c:pt>
                <c:pt idx="16">
                  <c:v>-1.7119999974966049E-3</c:v>
                </c:pt>
                <c:pt idx="18">
                  <c:v>-5.8999999600928277E-4</c:v>
                </c:pt>
                <c:pt idx="19">
                  <c:v>8.7400000484194607E-4</c:v>
                </c:pt>
                <c:pt idx="21">
                  <c:v>-3.9679999972577207E-3</c:v>
                </c:pt>
                <c:pt idx="22">
                  <c:v>-8.0300000045099296E-3</c:v>
                </c:pt>
                <c:pt idx="26">
                  <c:v>-2.7360000021872111E-3</c:v>
                </c:pt>
                <c:pt idx="29">
                  <c:v>-4.4979999947827309E-3</c:v>
                </c:pt>
                <c:pt idx="31">
                  <c:v>1.0580000016489066E-3</c:v>
                </c:pt>
                <c:pt idx="32">
                  <c:v>-3.0800000240560621E-4</c:v>
                </c:pt>
                <c:pt idx="33">
                  <c:v>4.7400000039488077E-4</c:v>
                </c:pt>
                <c:pt idx="34">
                  <c:v>-1.0919999986072071E-3</c:v>
                </c:pt>
                <c:pt idx="38">
                  <c:v>5.5460000003222376E-3</c:v>
                </c:pt>
                <c:pt idx="40">
                  <c:v>3.9719999986118637E-3</c:v>
                </c:pt>
                <c:pt idx="42">
                  <c:v>6.5680000043357722E-3</c:v>
                </c:pt>
                <c:pt idx="43">
                  <c:v>4.2620000021997839E-3</c:v>
                </c:pt>
                <c:pt idx="44">
                  <c:v>8.2959999999729916E-3</c:v>
                </c:pt>
                <c:pt idx="45">
                  <c:v>9.2860000077052973E-3</c:v>
                </c:pt>
                <c:pt idx="48">
                  <c:v>1.1641999997664243E-2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21-4CB0-825B-1E3AEF0EC1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5">
                  <c:v>-6.7800000033457763E-3</c:v>
                </c:pt>
                <c:pt idx="7">
                  <c:v>-6.6999999980907887E-3</c:v>
                </c:pt>
                <c:pt idx="8">
                  <c:v>-6.3959999970393255E-3</c:v>
                </c:pt>
                <c:pt idx="9">
                  <c:v>-8.1439999994472601E-3</c:v>
                </c:pt>
                <c:pt idx="11">
                  <c:v>-5.7539999979780987E-3</c:v>
                </c:pt>
                <c:pt idx="12">
                  <c:v>-5.433999998786021E-3</c:v>
                </c:pt>
                <c:pt idx="13">
                  <c:v>0</c:v>
                </c:pt>
                <c:pt idx="17">
                  <c:v>4.6200000360840932E-4</c:v>
                </c:pt>
                <c:pt idx="20">
                  <c:v>-6.339999963529408E-4</c:v>
                </c:pt>
                <c:pt idx="24">
                  <c:v>7.660000046598725E-4</c:v>
                </c:pt>
                <c:pt idx="25">
                  <c:v>-4.1519999940646812E-3</c:v>
                </c:pt>
                <c:pt idx="27">
                  <c:v>6.6600000718608499E-4</c:v>
                </c:pt>
                <c:pt idx="28">
                  <c:v>-2.9679999934160151E-3</c:v>
                </c:pt>
                <c:pt idx="30">
                  <c:v>5.3940000070724636E-3</c:v>
                </c:pt>
                <c:pt idx="35">
                  <c:v>-1.5400000120280311E-4</c:v>
                </c:pt>
                <c:pt idx="36">
                  <c:v>-3.8599999970756471E-3</c:v>
                </c:pt>
                <c:pt idx="37">
                  <c:v>6.5459999968879856E-3</c:v>
                </c:pt>
                <c:pt idx="39">
                  <c:v>1.3880000042263418E-3</c:v>
                </c:pt>
                <c:pt idx="41">
                  <c:v>5.8060000010300428E-3</c:v>
                </c:pt>
                <c:pt idx="46">
                  <c:v>4.5400000017252751E-3</c:v>
                </c:pt>
                <c:pt idx="47">
                  <c:v>5.3880000050412491E-3</c:v>
                </c:pt>
                <c:pt idx="51">
                  <c:v>3.1799999931536149E-2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21-4CB0-825B-1E3AEF0EC1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21-4CB0-825B-1E3AEF0EC1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21-4CB0-825B-1E3AEF0EC1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2.7000000000000001E-3</c:v>
                  </c:pt>
                  <c:pt idx="6">
                    <c:v>0</c:v>
                  </c:pt>
                  <c:pt idx="7">
                    <c:v>2E-3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0</c:v>
                  </c:pt>
                  <c:pt idx="11">
                    <c:v>1.9E-3</c:v>
                  </c:pt>
                  <c:pt idx="12">
                    <c:v>1.2999999999999999E-3</c:v>
                  </c:pt>
                  <c:pt idx="13">
                    <c:v>8.0000000000000004E-4</c:v>
                  </c:pt>
                  <c:pt idx="14">
                    <c:v>1.1000000000000001E-3</c:v>
                  </c:pt>
                  <c:pt idx="15">
                    <c:v>4.0000000000000002E-4</c:v>
                  </c:pt>
                  <c:pt idx="16">
                    <c:v>1.2999999999999999E-3</c:v>
                  </c:pt>
                  <c:pt idx="17">
                    <c:v>1.4E-3</c:v>
                  </c:pt>
                  <c:pt idx="18">
                    <c:v>8.9999999999999998E-4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1.9E-3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1.5E-3</c:v>
                  </c:pt>
                  <c:pt idx="33">
                    <c:v>2.3999999999999998E-3</c:v>
                  </c:pt>
                  <c:pt idx="34">
                    <c:v>2.0999999999999999E-3</c:v>
                  </c:pt>
                  <c:pt idx="35">
                    <c:v>5.9999999999999995E-4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8.9999999999999998E-4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1.8E-3</c:v>
                  </c:pt>
                  <c:pt idx="43">
                    <c:v>2.8999999999999998E-3</c:v>
                  </c:pt>
                  <c:pt idx="44">
                    <c:v>2.8E-3</c:v>
                  </c:pt>
                  <c:pt idx="45">
                    <c:v>2.0999999999999999E-3</c:v>
                  </c:pt>
                  <c:pt idx="46">
                    <c:v>5.0000000000000001E-4</c:v>
                  </c:pt>
                  <c:pt idx="47">
                    <c:v>5.9999999999999995E-4</c:v>
                  </c:pt>
                  <c:pt idx="48">
                    <c:v>1.8E-3</c:v>
                  </c:pt>
                  <c:pt idx="49">
                    <c:v>4.0000000000000001E-3</c:v>
                  </c:pt>
                  <c:pt idx="50">
                    <c:v>5.8999999999999999E-3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21-4CB0-825B-1E3AEF0EC1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-9.0833764604771466E-3</c:v>
                </c:pt>
                <c:pt idx="1">
                  <c:v>-9.08268507476424E-3</c:v>
                </c:pt>
                <c:pt idx="2">
                  <c:v>-9.050881331970578E-3</c:v>
                </c:pt>
                <c:pt idx="3">
                  <c:v>-9.018386203464011E-3</c:v>
                </c:pt>
                <c:pt idx="4">
                  <c:v>-9.0176948177511061E-3</c:v>
                </c:pt>
                <c:pt idx="5">
                  <c:v>-9.0135465034736698E-3</c:v>
                </c:pt>
                <c:pt idx="6">
                  <c:v>-8.9478648607476292E-3</c:v>
                </c:pt>
                <c:pt idx="7">
                  <c:v>-8.8787262894570625E-3</c:v>
                </c:pt>
                <c:pt idx="8">
                  <c:v>-8.8780349037441558E-3</c:v>
                </c:pt>
                <c:pt idx="9">
                  <c:v>-8.7722528896695857E-3</c:v>
                </c:pt>
                <c:pt idx="10">
                  <c:v>-7.3977780924130761E-3</c:v>
                </c:pt>
                <c:pt idx="11">
                  <c:v>-6.0551070379502294E-3</c:v>
                </c:pt>
                <c:pt idx="12">
                  <c:v>-4.5133168981705439E-3</c:v>
                </c:pt>
                <c:pt idx="13">
                  <c:v>-4.5126255124576381E-3</c:v>
                </c:pt>
                <c:pt idx="14">
                  <c:v>-4.4020037983927276E-3</c:v>
                </c:pt>
                <c:pt idx="15">
                  <c:v>-2.9010054156744782E-3</c:v>
                </c:pt>
                <c:pt idx="16">
                  <c:v>-2.9003140299615725E-3</c:v>
                </c:pt>
                <c:pt idx="17">
                  <c:v>-2.8927087871196099E-3</c:v>
                </c:pt>
                <c:pt idx="18">
                  <c:v>-2.8429290157904004E-3</c:v>
                </c:pt>
                <c:pt idx="19">
                  <c:v>-1.5666309897664991E-3</c:v>
                </c:pt>
                <c:pt idx="20">
                  <c:v>-1.4712197613855138E-3</c:v>
                </c:pt>
                <c:pt idx="21">
                  <c:v>-1.3336340045172817E-3</c:v>
                </c:pt>
                <c:pt idx="22">
                  <c:v>-1.2596557332363732E-3</c:v>
                </c:pt>
                <c:pt idx="23">
                  <c:v>-3.0277790657489995E-4</c:v>
                </c:pt>
                <c:pt idx="24">
                  <c:v>-8.8448335574136706E-5</c:v>
                </c:pt>
                <c:pt idx="25">
                  <c:v>-3.4078928867371794E-6</c:v>
                </c:pt>
                <c:pt idx="26">
                  <c:v>1.318536422299961E-5</c:v>
                </c:pt>
                <c:pt idx="27">
                  <c:v>1.1896737829756969E-4</c:v>
                </c:pt>
                <c:pt idx="28">
                  <c:v>1.3973395614601883E-3</c:v>
                </c:pt>
                <c:pt idx="29">
                  <c:v>1.6082122038964235E-3</c:v>
                </c:pt>
                <c:pt idx="30">
                  <c:v>2.8789791442170786E-3</c:v>
                </c:pt>
                <c:pt idx="31">
                  <c:v>3.1181986008824471E-3</c:v>
                </c:pt>
                <c:pt idx="32">
                  <c:v>3.1188899865953528E-3</c:v>
                </c:pt>
                <c:pt idx="33">
                  <c:v>3.1347918579921839E-3</c:v>
                </c:pt>
                <c:pt idx="34">
                  <c:v>3.1354832437050896E-3</c:v>
                </c:pt>
                <c:pt idx="35">
                  <c:v>3.2094615149859977E-3</c:v>
                </c:pt>
                <c:pt idx="36">
                  <c:v>3.3760854717962696E-3</c:v>
                </c:pt>
                <c:pt idx="37">
                  <c:v>4.5230943695068072E-3</c:v>
                </c:pt>
                <c:pt idx="38">
                  <c:v>4.6613715120879442E-3</c:v>
                </c:pt>
                <c:pt idx="39">
                  <c:v>5.9148538095859567E-3</c:v>
                </c:pt>
                <c:pt idx="40">
                  <c:v>6.0365376950573587E-3</c:v>
                </c:pt>
                <c:pt idx="41">
                  <c:v>6.0372290807702636E-3</c:v>
                </c:pt>
                <c:pt idx="42">
                  <c:v>6.1015279520704943E-3</c:v>
                </c:pt>
                <c:pt idx="43">
                  <c:v>6.1298747662996266E-3</c:v>
                </c:pt>
                <c:pt idx="44">
                  <c:v>6.1305661520125315E-3</c:v>
                </c:pt>
                <c:pt idx="45">
                  <c:v>6.1547646519642309E-3</c:v>
                </c:pt>
                <c:pt idx="46">
                  <c:v>7.4206918922945474E-3</c:v>
                </c:pt>
                <c:pt idx="47">
                  <c:v>7.6778873774954633E-3</c:v>
                </c:pt>
                <c:pt idx="48">
                  <c:v>7.7338896202408247E-3</c:v>
                </c:pt>
                <c:pt idx="49">
                  <c:v>1.1985220368897903E-2</c:v>
                </c:pt>
                <c:pt idx="50">
                  <c:v>1.198591175461081E-2</c:v>
                </c:pt>
                <c:pt idx="51">
                  <c:v>1.6495129374181711E-2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21-4CB0-825B-1E3AEF0EC1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-6611</c:v>
                </c:pt>
                <c:pt idx="1">
                  <c:v>-6610</c:v>
                </c:pt>
                <c:pt idx="2">
                  <c:v>-6564</c:v>
                </c:pt>
                <c:pt idx="3">
                  <c:v>-6517</c:v>
                </c:pt>
                <c:pt idx="4">
                  <c:v>-6516</c:v>
                </c:pt>
                <c:pt idx="5">
                  <c:v>-6510</c:v>
                </c:pt>
                <c:pt idx="6">
                  <c:v>-6415</c:v>
                </c:pt>
                <c:pt idx="7">
                  <c:v>-6315</c:v>
                </c:pt>
                <c:pt idx="8">
                  <c:v>-6314</c:v>
                </c:pt>
                <c:pt idx="9">
                  <c:v>-6161</c:v>
                </c:pt>
                <c:pt idx="10">
                  <c:v>-4173</c:v>
                </c:pt>
                <c:pt idx="11">
                  <c:v>-2231</c:v>
                </c:pt>
                <c:pt idx="12">
                  <c:v>-1</c:v>
                </c:pt>
                <c:pt idx="13">
                  <c:v>0</c:v>
                </c:pt>
                <c:pt idx="14">
                  <c:v>160</c:v>
                </c:pt>
                <c:pt idx="15">
                  <c:v>2331</c:v>
                </c:pt>
                <c:pt idx="16">
                  <c:v>2332</c:v>
                </c:pt>
                <c:pt idx="17">
                  <c:v>2343</c:v>
                </c:pt>
                <c:pt idx="18">
                  <c:v>2415</c:v>
                </c:pt>
                <c:pt idx="19">
                  <c:v>4261</c:v>
                </c:pt>
                <c:pt idx="20">
                  <c:v>4399</c:v>
                </c:pt>
                <c:pt idx="21">
                  <c:v>4598</c:v>
                </c:pt>
                <c:pt idx="22">
                  <c:v>4705</c:v>
                </c:pt>
                <c:pt idx="23">
                  <c:v>6089</c:v>
                </c:pt>
                <c:pt idx="24">
                  <c:v>6399</c:v>
                </c:pt>
                <c:pt idx="25">
                  <c:v>6522</c:v>
                </c:pt>
                <c:pt idx="26">
                  <c:v>6546</c:v>
                </c:pt>
                <c:pt idx="27">
                  <c:v>6699</c:v>
                </c:pt>
                <c:pt idx="28">
                  <c:v>8548</c:v>
                </c:pt>
                <c:pt idx="29">
                  <c:v>8853</c:v>
                </c:pt>
                <c:pt idx="30">
                  <c:v>10691</c:v>
                </c:pt>
                <c:pt idx="31">
                  <c:v>11037</c:v>
                </c:pt>
                <c:pt idx="32">
                  <c:v>11038</c:v>
                </c:pt>
                <c:pt idx="33">
                  <c:v>11061</c:v>
                </c:pt>
                <c:pt idx="34">
                  <c:v>11062</c:v>
                </c:pt>
                <c:pt idx="35">
                  <c:v>11169</c:v>
                </c:pt>
                <c:pt idx="36">
                  <c:v>11410</c:v>
                </c:pt>
                <c:pt idx="37">
                  <c:v>13069</c:v>
                </c:pt>
                <c:pt idx="38">
                  <c:v>13269</c:v>
                </c:pt>
                <c:pt idx="39">
                  <c:v>15082</c:v>
                </c:pt>
                <c:pt idx="40">
                  <c:v>15258</c:v>
                </c:pt>
                <c:pt idx="41">
                  <c:v>15259</c:v>
                </c:pt>
                <c:pt idx="42">
                  <c:v>15352</c:v>
                </c:pt>
                <c:pt idx="43">
                  <c:v>15393</c:v>
                </c:pt>
                <c:pt idx="44">
                  <c:v>15394</c:v>
                </c:pt>
                <c:pt idx="45">
                  <c:v>15429</c:v>
                </c:pt>
                <c:pt idx="46">
                  <c:v>17260</c:v>
                </c:pt>
                <c:pt idx="47">
                  <c:v>17632</c:v>
                </c:pt>
                <c:pt idx="48">
                  <c:v>17713</c:v>
                </c:pt>
                <c:pt idx="49">
                  <c:v>23862</c:v>
                </c:pt>
                <c:pt idx="50">
                  <c:v>23863</c:v>
                </c:pt>
                <c:pt idx="51">
                  <c:v>30385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9">
                  <c:v>2.9907999996794388E-2</c:v>
                </c:pt>
                <c:pt idx="50">
                  <c:v>2.1441999997477978E-2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21-4CB0-825B-1E3AEF0E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601544"/>
        <c:axId val="1"/>
      </c:scatterChart>
      <c:valAx>
        <c:axId val="551601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6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6EB419-52E6-F8FC-EB30-33973935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37" TargetMode="External"/><Relationship Id="rId26" Type="http://schemas.openxmlformats.org/officeDocument/2006/relationships/hyperlink" Target="http://www.konkoly.hu/cgi-bin/IBVS?5945" TargetMode="External"/><Relationship Id="rId39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814" TargetMode="External"/><Relationship Id="rId24" Type="http://schemas.openxmlformats.org/officeDocument/2006/relationships/hyperlink" Target="http://www.konkoly.hu/cgi-bin/IBVS?5894" TargetMode="External"/><Relationship Id="rId32" Type="http://schemas.openxmlformats.org/officeDocument/2006/relationships/hyperlink" Target="http://www.bav-astro.de/sfs/BAVM_link.php?BAVMnr=220" TargetMode="External"/><Relationship Id="rId3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814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vsolj.cetus-net.org/no45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6018" TargetMode="External"/><Relationship Id="rId35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t="s">
        <v>35</v>
      </c>
    </row>
    <row r="4" spans="1:6" ht="14.25" thickTop="1" thickBot="1" x14ac:dyDescent="0.25">
      <c r="A4" s="3" t="s">
        <v>0</v>
      </c>
      <c r="C4" s="6" t="s">
        <v>34</v>
      </c>
      <c r="D4" s="7" t="s">
        <v>34</v>
      </c>
    </row>
    <row r="5" spans="1:6" ht="13.5" thickTop="1" x14ac:dyDescent="0.2">
      <c r="A5" s="19" t="s">
        <v>42</v>
      </c>
      <c r="B5" s="20"/>
      <c r="C5" s="21">
        <v>-9.5</v>
      </c>
      <c r="D5" s="20" t="s">
        <v>43</v>
      </c>
    </row>
    <row r="6" spans="1:6" x14ac:dyDescent="0.2">
      <c r="A6" s="3" t="s">
        <v>1</v>
      </c>
    </row>
    <row r="7" spans="1:6" x14ac:dyDescent="0.2">
      <c r="A7" t="s">
        <v>2</v>
      </c>
      <c r="C7" s="66">
        <v>53068.487099999998</v>
      </c>
      <c r="D7" t="s">
        <v>32</v>
      </c>
    </row>
    <row r="8" spans="1:6" x14ac:dyDescent="0.2">
      <c r="A8" t="s">
        <v>3</v>
      </c>
      <c r="C8" s="67">
        <v>0.16896600000000001</v>
      </c>
      <c r="D8" t="s">
        <v>33</v>
      </c>
    </row>
    <row r="9" spans="1:6" x14ac:dyDescent="0.2">
      <c r="A9" s="36" t="s">
        <v>50</v>
      </c>
      <c r="B9" s="37">
        <v>21</v>
      </c>
      <c r="C9" s="34" t="str">
        <f>"F"&amp;B9</f>
        <v>F21</v>
      </c>
      <c r="D9" s="35" t="str">
        <f>"G"&amp;B9</f>
        <v>G21</v>
      </c>
    </row>
    <row r="10" spans="1:6" ht="13.5" thickBot="1" x14ac:dyDescent="0.25">
      <c r="A10" s="20"/>
      <c r="B10" s="20"/>
      <c r="C10" s="2" t="s">
        <v>19</v>
      </c>
      <c r="D10" s="2" t="s">
        <v>20</v>
      </c>
      <c r="E10" s="20"/>
    </row>
    <row r="11" spans="1:6" x14ac:dyDescent="0.2">
      <c r="A11" s="20" t="s">
        <v>15</v>
      </c>
      <c r="B11" s="20"/>
      <c r="C11" s="33">
        <f ca="1">INTERCEPT(INDIRECT($D$9):G992,INDIRECT($C$9):F992)</f>
        <v>-4.5126255124576381E-3</v>
      </c>
      <c r="D11" s="22"/>
      <c r="E11" s="20"/>
    </row>
    <row r="12" spans="1:6" x14ac:dyDescent="0.2">
      <c r="A12" s="20" t="s">
        <v>16</v>
      </c>
      <c r="B12" s="20"/>
      <c r="C12" s="33">
        <f ca="1">SLOPE(INDIRECT($D$9):G992,INDIRECT($C$9):F992)</f>
        <v>6.9138571290568861E-7</v>
      </c>
      <c r="D12" s="22"/>
      <c r="E12" s="20"/>
    </row>
    <row r="13" spans="1:6" x14ac:dyDescent="0.2">
      <c r="A13" s="20" t="s">
        <v>18</v>
      </c>
      <c r="B13" s="20"/>
      <c r="C13" s="22" t="s">
        <v>13</v>
      </c>
    </row>
    <row r="14" spans="1:6" x14ac:dyDescent="0.2">
      <c r="A14" s="20"/>
      <c r="B14" s="20"/>
      <c r="C14" s="20"/>
    </row>
    <row r="15" spans="1:6" x14ac:dyDescent="0.2">
      <c r="A15" s="23" t="s">
        <v>17</v>
      </c>
      <c r="B15" s="20"/>
      <c r="C15" s="24">
        <f ca="1">(C7+C11)+(C8+C12)*INT(MAX(F21:F3533))</f>
        <v>58202.535505129374</v>
      </c>
      <c r="E15" s="25" t="s">
        <v>56</v>
      </c>
      <c r="F15" s="21">
        <v>1</v>
      </c>
    </row>
    <row r="16" spans="1:6" x14ac:dyDescent="0.2">
      <c r="A16" s="27" t="s">
        <v>4</v>
      </c>
      <c r="B16" s="20"/>
      <c r="C16" s="28">
        <f ca="1">+C8+C12</f>
        <v>0.16896669138571291</v>
      </c>
      <c r="E16" s="25" t="s">
        <v>44</v>
      </c>
      <c r="F16" s="26">
        <f ca="1">NOW()+15018.5+$C$5/24</f>
        <v>60339.64393032407</v>
      </c>
    </row>
    <row r="17" spans="1:21" ht="13.5" thickBot="1" x14ac:dyDescent="0.25">
      <c r="A17" s="25" t="s">
        <v>41</v>
      </c>
      <c r="B17" s="20"/>
      <c r="C17" s="20">
        <f>COUNT(C21:C2191)</f>
        <v>52</v>
      </c>
      <c r="E17" s="25" t="s">
        <v>57</v>
      </c>
      <c r="F17" s="26">
        <f ca="1">ROUND(2*(F16-$C$7)/$C$8,0)/2+F15</f>
        <v>43034.5</v>
      </c>
    </row>
    <row r="18" spans="1:21" ht="14.25" thickTop="1" thickBot="1" x14ac:dyDescent="0.25">
      <c r="A18" s="27" t="s">
        <v>5</v>
      </c>
      <c r="B18" s="20"/>
      <c r="C18" s="30">
        <f ca="1">+C15</f>
        <v>58202.535505129374</v>
      </c>
      <c r="D18" s="31">
        <f ca="1">+C16</f>
        <v>0.16896669138571291</v>
      </c>
      <c r="E18" s="25" t="s">
        <v>45</v>
      </c>
      <c r="F18" s="35">
        <f ca="1">ROUND(2*(F16-$C$15)/$C$16,0)/2+F15</f>
        <v>12649</v>
      </c>
    </row>
    <row r="19" spans="1:21" ht="13.5" thickTop="1" x14ac:dyDescent="0.2">
      <c r="E19" s="25" t="s">
        <v>46</v>
      </c>
      <c r="F19" s="29">
        <f ca="1">+$C$15+$C$16*F18-15018.5-$C$5/24</f>
        <v>45321.691017800593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72</v>
      </c>
      <c r="I20" s="5" t="s">
        <v>75</v>
      </c>
      <c r="J20" s="5" t="s">
        <v>69</v>
      </c>
      <c r="K20" s="5" t="s">
        <v>67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2" t="s">
        <v>14</v>
      </c>
      <c r="U20" s="59" t="s">
        <v>302</v>
      </c>
    </row>
    <row r="21" spans="1:21" x14ac:dyDescent="0.2">
      <c r="A21" s="56" t="s">
        <v>82</v>
      </c>
      <c r="B21" s="57" t="s">
        <v>28</v>
      </c>
      <c r="C21" s="58">
        <v>51951.440900000001</v>
      </c>
      <c r="D21" s="58" t="s">
        <v>75</v>
      </c>
      <c r="E21" s="17">
        <f t="shared" ref="E21:E52" si="0">+(C21-C$7)/C$8</f>
        <v>-6611.0708663281193</v>
      </c>
      <c r="F21" s="17">
        <f t="shared" ref="F21:F52" si="1">ROUND(2*E21,0)/2</f>
        <v>-6611</v>
      </c>
      <c r="G21" s="17">
        <f t="shared" ref="G21:G52" si="2">+C21-(C$7+F21*C$8)</f>
        <v>-1.1973999993642792E-2</v>
      </c>
      <c r="H21" s="17"/>
      <c r="I21" s="17">
        <f>+G21</f>
        <v>-1.1973999993642792E-2</v>
      </c>
      <c r="J21" s="17"/>
      <c r="K21" s="17"/>
      <c r="L21" s="17"/>
      <c r="M21" s="17"/>
      <c r="N21" s="17"/>
      <c r="O21" s="17">
        <f t="shared" ref="O21:O52" ca="1" si="3">+C$11+C$12*$F21</f>
        <v>-9.0833764604771466E-3</v>
      </c>
      <c r="P21" s="17"/>
      <c r="Q21" s="40">
        <f t="shared" ref="Q21:Q52" si="4">+C21-15018.5</f>
        <v>36932.940900000001</v>
      </c>
    </row>
    <row r="22" spans="1:21" x14ac:dyDescent="0.2">
      <c r="A22" s="56" t="s">
        <v>82</v>
      </c>
      <c r="B22" s="57" t="s">
        <v>29</v>
      </c>
      <c r="C22" s="58">
        <v>51951.613799999999</v>
      </c>
      <c r="D22" s="58" t="s">
        <v>75</v>
      </c>
      <c r="E22" s="17">
        <f t="shared" si="0"/>
        <v>-6610.0475835375119</v>
      </c>
      <c r="F22" s="17">
        <f t="shared" si="1"/>
        <v>-6610</v>
      </c>
      <c r="G22" s="17">
        <f t="shared" si="2"/>
        <v>-8.0400000006193295E-3</v>
      </c>
      <c r="H22" s="17"/>
      <c r="I22" s="17">
        <f>+G22</f>
        <v>-8.0400000006193295E-3</v>
      </c>
      <c r="J22" s="17"/>
      <c r="K22" s="17"/>
      <c r="L22" s="17"/>
      <c r="M22" s="17"/>
      <c r="N22" s="17"/>
      <c r="O22" s="17">
        <f t="shared" ca="1" si="3"/>
        <v>-9.08268507476424E-3</v>
      </c>
      <c r="P22" s="17"/>
      <c r="Q22" s="40">
        <f t="shared" si="4"/>
        <v>36933.113799999999</v>
      </c>
    </row>
    <row r="23" spans="1:21" x14ac:dyDescent="0.2">
      <c r="A23" s="56" t="s">
        <v>82</v>
      </c>
      <c r="B23" s="57" t="s">
        <v>29</v>
      </c>
      <c r="C23" s="58">
        <v>51959.385000000002</v>
      </c>
      <c r="D23" s="58" t="s">
        <v>75</v>
      </c>
      <c r="E23" s="17">
        <f t="shared" si="0"/>
        <v>-6564.0548986186359</v>
      </c>
      <c r="F23" s="17">
        <f t="shared" si="1"/>
        <v>-6564</v>
      </c>
      <c r="G23" s="17">
        <f t="shared" si="2"/>
        <v>-9.2759999970439821E-3</v>
      </c>
      <c r="H23" s="17"/>
      <c r="I23" s="17">
        <f>+G23</f>
        <v>-9.2759999970439821E-3</v>
      </c>
      <c r="J23" s="17"/>
      <c r="K23" s="17"/>
      <c r="L23" s="17"/>
      <c r="M23" s="17"/>
      <c r="N23" s="17"/>
      <c r="O23" s="17">
        <f t="shared" ca="1" si="3"/>
        <v>-9.050881331970578E-3</v>
      </c>
      <c r="P23" s="17"/>
      <c r="Q23" s="40">
        <f t="shared" si="4"/>
        <v>36940.885000000002</v>
      </c>
    </row>
    <row r="24" spans="1:21" x14ac:dyDescent="0.2">
      <c r="A24" s="56" t="s">
        <v>82</v>
      </c>
      <c r="B24" s="57" t="s">
        <v>28</v>
      </c>
      <c r="C24" s="58">
        <v>51967.328500000003</v>
      </c>
      <c r="D24" s="58" t="s">
        <v>75</v>
      </c>
      <c r="E24" s="17">
        <f t="shared" si="0"/>
        <v>-6517.0424819194104</v>
      </c>
      <c r="F24" s="17">
        <f t="shared" si="1"/>
        <v>-6517</v>
      </c>
      <c r="G24" s="17">
        <f t="shared" si="2"/>
        <v>-7.1779999925638549E-3</v>
      </c>
      <c r="H24" s="17"/>
      <c r="I24" s="17">
        <f>+G24</f>
        <v>-7.1779999925638549E-3</v>
      </c>
      <c r="J24" s="17"/>
      <c r="K24" s="17"/>
      <c r="L24" s="17"/>
      <c r="M24" s="17"/>
      <c r="N24" s="17"/>
      <c r="O24" s="17">
        <f t="shared" ca="1" si="3"/>
        <v>-9.018386203464011E-3</v>
      </c>
      <c r="P24" s="17"/>
      <c r="Q24" s="40">
        <f t="shared" si="4"/>
        <v>36948.828500000003</v>
      </c>
    </row>
    <row r="25" spans="1:21" x14ac:dyDescent="0.2">
      <c r="A25" s="56" t="s">
        <v>82</v>
      </c>
      <c r="B25" s="57" t="s">
        <v>29</v>
      </c>
      <c r="C25" s="58">
        <v>51967.499300000003</v>
      </c>
      <c r="D25" s="58" t="s">
        <v>75</v>
      </c>
      <c r="E25" s="17">
        <f t="shared" si="0"/>
        <v>-6516.031627664709</v>
      </c>
      <c r="F25" s="17">
        <f t="shared" si="1"/>
        <v>-6516</v>
      </c>
      <c r="G25" s="17">
        <f t="shared" si="2"/>
        <v>-5.3439999974216335E-3</v>
      </c>
      <c r="H25" s="17"/>
      <c r="I25" s="17">
        <f>+G25</f>
        <v>-5.3439999974216335E-3</v>
      </c>
      <c r="J25" s="17"/>
      <c r="K25" s="17"/>
      <c r="L25" s="17"/>
      <c r="M25" s="17"/>
      <c r="N25" s="17"/>
      <c r="O25" s="17">
        <f t="shared" ca="1" si="3"/>
        <v>-9.0176948177511061E-3</v>
      </c>
      <c r="P25" s="17"/>
      <c r="Q25" s="40">
        <f t="shared" si="4"/>
        <v>36948.999300000003</v>
      </c>
    </row>
    <row r="26" spans="1:21" x14ac:dyDescent="0.2">
      <c r="A26" s="38" t="s">
        <v>53</v>
      </c>
      <c r="B26" s="39" t="s">
        <v>29</v>
      </c>
      <c r="C26" s="38">
        <v>51968.511659999996</v>
      </c>
      <c r="D26" s="38">
        <v>2.7000000000000001E-3</v>
      </c>
      <c r="E26" s="17">
        <f t="shared" si="0"/>
        <v>-6510.0401264159773</v>
      </c>
      <c r="F26" s="17">
        <f t="shared" si="1"/>
        <v>-6510</v>
      </c>
      <c r="G26" s="17">
        <f t="shared" si="2"/>
        <v>-6.7800000033457763E-3</v>
      </c>
      <c r="H26" s="17"/>
      <c r="I26" s="17"/>
      <c r="J26" s="17"/>
      <c r="K26" s="17">
        <f>+G26</f>
        <v>-6.7800000033457763E-3</v>
      </c>
      <c r="L26" s="17"/>
      <c r="M26" s="17"/>
      <c r="N26" s="17"/>
      <c r="O26" s="17">
        <f t="shared" ca="1" si="3"/>
        <v>-9.0135465034736698E-3</v>
      </c>
      <c r="P26" s="17"/>
      <c r="Q26" s="40">
        <f t="shared" si="4"/>
        <v>36950.011659999996</v>
      </c>
      <c r="R26" s="17"/>
    </row>
    <row r="27" spans="1:21" x14ac:dyDescent="0.2">
      <c r="A27" s="56" t="s">
        <v>82</v>
      </c>
      <c r="B27" s="57" t="s">
        <v>28</v>
      </c>
      <c r="C27" s="58">
        <v>51984.560899999997</v>
      </c>
      <c r="D27" s="58" t="s">
        <v>75</v>
      </c>
      <c r="E27" s="17">
        <f t="shared" si="0"/>
        <v>-6415.0550998425815</v>
      </c>
      <c r="F27" s="17">
        <f t="shared" si="1"/>
        <v>-6415</v>
      </c>
      <c r="G27" s="17">
        <f t="shared" si="2"/>
        <v>-9.3100000012782402E-3</v>
      </c>
      <c r="H27" s="17"/>
      <c r="I27" s="17">
        <f>+G27</f>
        <v>-9.3100000012782402E-3</v>
      </c>
      <c r="J27" s="17"/>
      <c r="K27" s="17"/>
      <c r="L27" s="17"/>
      <c r="M27" s="17"/>
      <c r="N27" s="17"/>
      <c r="O27" s="17">
        <f t="shared" ca="1" si="3"/>
        <v>-8.9478648607476292E-3</v>
      </c>
      <c r="P27" s="17"/>
      <c r="Q27" s="40">
        <f t="shared" si="4"/>
        <v>36966.060899999997</v>
      </c>
    </row>
    <row r="28" spans="1:21" s="17" customFormat="1" x14ac:dyDescent="0.2">
      <c r="A28" s="38" t="s">
        <v>53</v>
      </c>
      <c r="B28" s="39" t="s">
        <v>28</v>
      </c>
      <c r="C28" s="38">
        <v>52001.46011</v>
      </c>
      <c r="D28" s="38">
        <v>2E-3</v>
      </c>
      <c r="E28" s="17">
        <f t="shared" si="0"/>
        <v>-6315.0396529479212</v>
      </c>
      <c r="F28" s="17">
        <f t="shared" si="1"/>
        <v>-6315</v>
      </c>
      <c r="G28" s="17">
        <f t="shared" si="2"/>
        <v>-6.6999999980907887E-3</v>
      </c>
      <c r="K28" s="17">
        <f>+G28</f>
        <v>-6.6999999980907887E-3</v>
      </c>
      <c r="O28" s="17">
        <f t="shared" ca="1" si="3"/>
        <v>-8.8787262894570625E-3</v>
      </c>
      <c r="Q28" s="40">
        <f t="shared" si="4"/>
        <v>36982.96011</v>
      </c>
    </row>
    <row r="29" spans="1:21" s="17" customFormat="1" x14ac:dyDescent="0.2">
      <c r="A29" s="38" t="s">
        <v>53</v>
      </c>
      <c r="B29" s="39" t="s">
        <v>29</v>
      </c>
      <c r="C29" s="38">
        <v>52001.629379999998</v>
      </c>
      <c r="D29" s="38">
        <v>1.5E-3</v>
      </c>
      <c r="E29" s="17">
        <f t="shared" si="0"/>
        <v>-6314.0378537693969</v>
      </c>
      <c r="F29" s="17">
        <f t="shared" si="1"/>
        <v>-6314</v>
      </c>
      <c r="G29" s="17">
        <f t="shared" si="2"/>
        <v>-6.3959999970393255E-3</v>
      </c>
      <c r="K29" s="17">
        <f>+G29</f>
        <v>-6.3959999970393255E-3</v>
      </c>
      <c r="O29" s="17">
        <f t="shared" ca="1" si="3"/>
        <v>-8.8780349037441558E-3</v>
      </c>
      <c r="Q29" s="40">
        <f t="shared" si="4"/>
        <v>36983.129379999998</v>
      </c>
    </row>
    <row r="30" spans="1:21" s="17" customFormat="1" x14ac:dyDescent="0.2">
      <c r="A30" s="38" t="s">
        <v>53</v>
      </c>
      <c r="B30" s="39" t="s">
        <v>28</v>
      </c>
      <c r="C30" s="38">
        <v>52027.479429999999</v>
      </c>
      <c r="D30" s="38">
        <v>1.1999999999999999E-3</v>
      </c>
      <c r="E30" s="17">
        <f t="shared" si="0"/>
        <v>-6161.0481990459557</v>
      </c>
      <c r="F30" s="17">
        <f t="shared" si="1"/>
        <v>-6161</v>
      </c>
      <c r="G30" s="17">
        <f t="shared" si="2"/>
        <v>-8.1439999994472601E-3</v>
      </c>
      <c r="K30" s="17">
        <f>+G30</f>
        <v>-8.1439999994472601E-3</v>
      </c>
      <c r="O30" s="17">
        <f t="shared" ca="1" si="3"/>
        <v>-8.7722528896695857E-3</v>
      </c>
      <c r="Q30" s="40">
        <f t="shared" si="4"/>
        <v>37008.979429999999</v>
      </c>
    </row>
    <row r="31" spans="1:21" s="17" customFormat="1" x14ac:dyDescent="0.2">
      <c r="A31" s="56" t="s">
        <v>117</v>
      </c>
      <c r="B31" s="57" t="s">
        <v>28</v>
      </c>
      <c r="C31" s="58">
        <v>52363.386700000003</v>
      </c>
      <c r="D31" s="58" t="s">
        <v>75</v>
      </c>
      <c r="E31" s="17">
        <f t="shared" si="0"/>
        <v>-4173.0312607269843</v>
      </c>
      <c r="F31" s="17">
        <f t="shared" si="1"/>
        <v>-4173</v>
      </c>
      <c r="G31" s="17">
        <f t="shared" si="2"/>
        <v>-5.2819999982602894E-3</v>
      </c>
      <c r="I31" s="17">
        <f>+G31</f>
        <v>-5.2819999982602894E-3</v>
      </c>
      <c r="O31" s="17">
        <f t="shared" ca="1" si="3"/>
        <v>-7.3977780924130761E-3</v>
      </c>
      <c r="Q31" s="40">
        <f t="shared" si="4"/>
        <v>37344.886700000003</v>
      </c>
      <c r="R31"/>
    </row>
    <row r="32" spans="1:21" s="17" customFormat="1" x14ac:dyDescent="0.2">
      <c r="A32" s="8" t="s">
        <v>37</v>
      </c>
      <c r="B32" s="9" t="s">
        <v>28</v>
      </c>
      <c r="C32" s="10">
        <v>52691.518199999999</v>
      </c>
      <c r="D32" s="10">
        <v>1.9E-3</v>
      </c>
      <c r="E32" s="17">
        <f t="shared" si="0"/>
        <v>-2231.0340541884157</v>
      </c>
      <c r="F32" s="17">
        <f t="shared" si="1"/>
        <v>-2231</v>
      </c>
      <c r="G32" s="17">
        <f t="shared" si="2"/>
        <v>-5.7539999979780987E-3</v>
      </c>
      <c r="K32" s="17">
        <f>+G32</f>
        <v>-5.7539999979780987E-3</v>
      </c>
      <c r="O32" s="17">
        <f t="shared" ca="1" si="3"/>
        <v>-6.0551070379502294E-3</v>
      </c>
      <c r="Q32" s="40">
        <f t="shared" si="4"/>
        <v>37673.018199999999</v>
      </c>
    </row>
    <row r="33" spans="1:18" s="17" customFormat="1" x14ac:dyDescent="0.2">
      <c r="A33" s="12" t="s">
        <v>27</v>
      </c>
      <c r="B33" s="13" t="s">
        <v>28</v>
      </c>
      <c r="C33" s="12">
        <v>53068.312700000002</v>
      </c>
      <c r="D33" s="14">
        <v>1.2999999999999999E-3</v>
      </c>
      <c r="E33" s="17">
        <f t="shared" si="0"/>
        <v>-1.0321603162543931</v>
      </c>
      <c r="F33" s="17">
        <f t="shared" si="1"/>
        <v>-1</v>
      </c>
      <c r="G33" s="17">
        <f t="shared" si="2"/>
        <v>-5.433999998786021E-3</v>
      </c>
      <c r="K33" s="17">
        <f>+G33</f>
        <v>-5.433999998786021E-3</v>
      </c>
      <c r="O33" s="17">
        <f t="shared" ca="1" si="3"/>
        <v>-4.5133168981705439E-3</v>
      </c>
      <c r="Q33" s="40">
        <f t="shared" si="4"/>
        <v>38049.812700000002</v>
      </c>
    </row>
    <row r="34" spans="1:18" s="17" customFormat="1" x14ac:dyDescent="0.2">
      <c r="A34" s="12" t="s">
        <v>27</v>
      </c>
      <c r="B34" s="13" t="s">
        <v>29</v>
      </c>
      <c r="C34" s="12">
        <v>53068.487099999998</v>
      </c>
      <c r="D34" s="14">
        <v>8.0000000000000004E-4</v>
      </c>
      <c r="E34" s="17">
        <f t="shared" si="0"/>
        <v>0</v>
      </c>
      <c r="F34" s="17">
        <f t="shared" si="1"/>
        <v>0</v>
      </c>
      <c r="G34" s="17">
        <f t="shared" si="2"/>
        <v>0</v>
      </c>
      <c r="K34" s="17">
        <f>+G34</f>
        <v>0</v>
      </c>
      <c r="O34" s="17">
        <f t="shared" ca="1" si="3"/>
        <v>-4.5126255124576381E-3</v>
      </c>
      <c r="Q34" s="40">
        <f t="shared" si="4"/>
        <v>38049.987099999998</v>
      </c>
    </row>
    <row r="35" spans="1:18" s="17" customFormat="1" x14ac:dyDescent="0.2">
      <c r="A35" s="15" t="s">
        <v>30</v>
      </c>
      <c r="B35" s="11"/>
      <c r="C35" s="16">
        <v>53095.520100000002</v>
      </c>
      <c r="D35" s="16">
        <v>1.1000000000000001E-3</v>
      </c>
      <c r="E35" s="17">
        <f t="shared" si="0"/>
        <v>159.99076737333596</v>
      </c>
      <c r="F35" s="17">
        <f t="shared" si="1"/>
        <v>160</v>
      </c>
      <c r="G35" s="17">
        <f t="shared" si="2"/>
        <v>-1.5599999969708733E-3</v>
      </c>
      <c r="J35" s="17">
        <f>+G35</f>
        <v>-1.5599999969708733E-3</v>
      </c>
      <c r="O35" s="17">
        <f t="shared" ca="1" si="3"/>
        <v>-4.4020037983927276E-3</v>
      </c>
      <c r="Q35" s="40">
        <f t="shared" si="4"/>
        <v>38077.020100000002</v>
      </c>
    </row>
    <row r="36" spans="1:18" s="17" customFormat="1" x14ac:dyDescent="0.2">
      <c r="A36" s="15" t="s">
        <v>31</v>
      </c>
      <c r="B36" s="11"/>
      <c r="C36" s="10">
        <v>53462.345300000001</v>
      </c>
      <c r="D36" s="10">
        <v>4.0000000000000002E-4</v>
      </c>
      <c r="E36" s="17">
        <f t="shared" si="0"/>
        <v>2330.9908502302378</v>
      </c>
      <c r="F36" s="17">
        <f t="shared" si="1"/>
        <v>2331</v>
      </c>
      <c r="G36" s="17">
        <f t="shared" si="2"/>
        <v>-1.5459999995073304E-3</v>
      </c>
      <c r="J36" s="17">
        <f>+G36</f>
        <v>-1.5459999995073304E-3</v>
      </c>
      <c r="O36" s="17">
        <f t="shared" ca="1" si="3"/>
        <v>-2.9010054156744782E-3</v>
      </c>
      <c r="Q36" s="40">
        <f t="shared" si="4"/>
        <v>38443.845300000001</v>
      </c>
    </row>
    <row r="37" spans="1:18" s="17" customFormat="1" x14ac:dyDescent="0.2">
      <c r="A37" s="15" t="s">
        <v>31</v>
      </c>
      <c r="B37" s="11"/>
      <c r="C37" s="10">
        <v>53462.5141</v>
      </c>
      <c r="D37" s="10">
        <v>1.2999999999999999E-3</v>
      </c>
      <c r="E37" s="17">
        <f t="shared" si="0"/>
        <v>2331.989867784062</v>
      </c>
      <c r="F37" s="17">
        <f t="shared" si="1"/>
        <v>2332</v>
      </c>
      <c r="G37" s="17">
        <f t="shared" si="2"/>
        <v>-1.7119999974966049E-3</v>
      </c>
      <c r="J37" s="17">
        <f>+G37</f>
        <v>-1.7119999974966049E-3</v>
      </c>
      <c r="O37" s="17">
        <f t="shared" ca="1" si="3"/>
        <v>-2.9003140299615725E-3</v>
      </c>
      <c r="Q37" s="40">
        <f t="shared" si="4"/>
        <v>38444.0141</v>
      </c>
    </row>
    <row r="38" spans="1:18" x14ac:dyDescent="0.2">
      <c r="A38" s="8" t="s">
        <v>38</v>
      </c>
      <c r="B38" s="9" t="s">
        <v>28</v>
      </c>
      <c r="C38" s="10">
        <v>53464.374900000003</v>
      </c>
      <c r="D38" s="10">
        <v>1.4E-3</v>
      </c>
      <c r="E38" s="17">
        <f t="shared" si="0"/>
        <v>2343.0027342779263</v>
      </c>
      <c r="F38" s="17">
        <f t="shared" si="1"/>
        <v>2343</v>
      </c>
      <c r="G38" s="17">
        <f t="shared" si="2"/>
        <v>4.6200000360840932E-4</v>
      </c>
      <c r="H38" s="17"/>
      <c r="I38" s="17"/>
      <c r="J38" s="17"/>
      <c r="K38" s="17">
        <f>+G38</f>
        <v>4.6200000360840932E-4</v>
      </c>
      <c r="L38" s="17"/>
      <c r="M38" s="17"/>
      <c r="N38" s="17"/>
      <c r="O38" s="17">
        <f t="shared" ca="1" si="3"/>
        <v>-2.8927087871196099E-3</v>
      </c>
      <c r="P38" s="17"/>
      <c r="Q38" s="40">
        <f t="shared" si="4"/>
        <v>38445.874900000003</v>
      </c>
      <c r="R38" s="17"/>
    </row>
    <row r="39" spans="1:18" x14ac:dyDescent="0.2">
      <c r="A39" s="15" t="s">
        <v>31</v>
      </c>
      <c r="B39" s="11"/>
      <c r="C39" s="10">
        <v>53476.539400000001</v>
      </c>
      <c r="D39" s="10">
        <v>8.9999999999999998E-4</v>
      </c>
      <c r="E39" s="17">
        <f t="shared" si="0"/>
        <v>2414.9965081732598</v>
      </c>
      <c r="F39" s="17">
        <f t="shared" si="1"/>
        <v>2415</v>
      </c>
      <c r="G39" s="17">
        <f t="shared" si="2"/>
        <v>-5.8999999600928277E-4</v>
      </c>
      <c r="H39" s="17"/>
      <c r="I39" s="17"/>
      <c r="J39" s="17">
        <f>+G39</f>
        <v>-5.8999999600928277E-4</v>
      </c>
      <c r="K39" s="17"/>
      <c r="L39" s="17"/>
      <c r="M39" s="17"/>
      <c r="N39" s="17"/>
      <c r="O39" s="17">
        <f t="shared" ca="1" si="3"/>
        <v>-2.8429290157904004E-3</v>
      </c>
      <c r="P39" s="17"/>
      <c r="Q39" s="40">
        <f t="shared" si="4"/>
        <v>38458.039400000001</v>
      </c>
      <c r="R39" s="17"/>
    </row>
    <row r="40" spans="1:18" x14ac:dyDescent="0.2">
      <c r="A40" s="8" t="s">
        <v>39</v>
      </c>
      <c r="B40" s="9" t="s">
        <v>28</v>
      </c>
      <c r="C40" s="10">
        <v>53788.452100000002</v>
      </c>
      <c r="D40" s="10">
        <v>1.1999999999999999E-3</v>
      </c>
      <c r="E40" s="17">
        <f t="shared" si="0"/>
        <v>4261.0051726383044</v>
      </c>
      <c r="F40" s="17">
        <f t="shared" si="1"/>
        <v>4261</v>
      </c>
      <c r="G40" s="17">
        <f t="shared" si="2"/>
        <v>8.7400000484194607E-4</v>
      </c>
      <c r="H40" s="17"/>
      <c r="I40" s="17"/>
      <c r="J40" s="17">
        <f>+G40</f>
        <v>8.7400000484194607E-4</v>
      </c>
      <c r="K40" s="17"/>
      <c r="L40" s="17"/>
      <c r="M40" s="17"/>
      <c r="N40" s="17"/>
      <c r="O40" s="17">
        <f t="shared" ca="1" si="3"/>
        <v>-1.5666309897664991E-3</v>
      </c>
      <c r="P40" s="17"/>
      <c r="Q40" s="40">
        <f t="shared" si="4"/>
        <v>38769.952100000002</v>
      </c>
      <c r="R40" s="17"/>
    </row>
    <row r="41" spans="1:18" x14ac:dyDescent="0.2">
      <c r="A41" s="32" t="s">
        <v>49</v>
      </c>
      <c r="B41" s="11" t="s">
        <v>28</v>
      </c>
      <c r="C41" s="41">
        <v>53811.767899999999</v>
      </c>
      <c r="D41" s="41">
        <v>2.9999999999999997E-4</v>
      </c>
      <c r="E41" s="17">
        <f t="shared" si="0"/>
        <v>4398.9962477658255</v>
      </c>
      <c r="F41" s="17">
        <f t="shared" si="1"/>
        <v>4399</v>
      </c>
      <c r="G41" s="17">
        <f t="shared" si="2"/>
        <v>-6.339999963529408E-4</v>
      </c>
      <c r="H41" s="17"/>
      <c r="I41" s="17"/>
      <c r="J41" s="17"/>
      <c r="K41" s="17">
        <f>+G41</f>
        <v>-6.339999963529408E-4</v>
      </c>
      <c r="L41" s="17"/>
      <c r="M41" s="17"/>
      <c r="N41" s="17"/>
      <c r="O41" s="17">
        <f t="shared" ca="1" si="3"/>
        <v>-1.4712197613855138E-3</v>
      </c>
      <c r="P41" s="17"/>
      <c r="Q41" s="40">
        <f t="shared" si="4"/>
        <v>38793.267899999999</v>
      </c>
      <c r="R41" s="17"/>
    </row>
    <row r="42" spans="1:18" s="17" customFormat="1" x14ac:dyDescent="0.2">
      <c r="A42" s="8" t="s">
        <v>40</v>
      </c>
      <c r="B42" s="11"/>
      <c r="C42" s="10">
        <v>53845.388800000001</v>
      </c>
      <c r="D42" s="10">
        <v>1.9E-3</v>
      </c>
      <c r="E42" s="17">
        <f t="shared" si="0"/>
        <v>4597.9765159854769</v>
      </c>
      <c r="F42" s="17">
        <f t="shared" si="1"/>
        <v>4598</v>
      </c>
      <c r="G42" s="17">
        <f t="shared" si="2"/>
        <v>-3.9679999972577207E-3</v>
      </c>
      <c r="J42" s="17">
        <f>+G42</f>
        <v>-3.9679999972577207E-3</v>
      </c>
      <c r="O42" s="17">
        <f t="shared" ca="1" si="3"/>
        <v>-1.3336340045172817E-3</v>
      </c>
      <c r="Q42" s="40">
        <f t="shared" si="4"/>
        <v>38826.888800000001</v>
      </c>
    </row>
    <row r="43" spans="1:18" s="17" customFormat="1" x14ac:dyDescent="0.2">
      <c r="A43" s="8" t="s">
        <v>40</v>
      </c>
      <c r="B43" s="11"/>
      <c r="C43" s="10">
        <v>53863.464099999997</v>
      </c>
      <c r="D43" s="10">
        <v>2.2000000000000001E-3</v>
      </c>
      <c r="E43" s="17">
        <f t="shared" si="0"/>
        <v>4704.9524756459814</v>
      </c>
      <c r="F43" s="17">
        <f t="shared" si="1"/>
        <v>4705</v>
      </c>
      <c r="G43" s="17">
        <f t="shared" si="2"/>
        <v>-8.0300000045099296E-3</v>
      </c>
      <c r="J43" s="17">
        <f>+G43</f>
        <v>-8.0300000045099296E-3</v>
      </c>
      <c r="O43" s="17">
        <f t="shared" ca="1" si="3"/>
        <v>-1.2596557332363732E-3</v>
      </c>
      <c r="Q43" s="40">
        <f t="shared" si="4"/>
        <v>38844.964099999997</v>
      </c>
    </row>
    <row r="44" spans="1:18" s="17" customFormat="1" x14ac:dyDescent="0.2">
      <c r="A44" s="56" t="s">
        <v>177</v>
      </c>
      <c r="B44" s="57" t="s">
        <v>28</v>
      </c>
      <c r="C44" s="58">
        <v>54097.3217</v>
      </c>
      <c r="D44" s="58" t="s">
        <v>75</v>
      </c>
      <c r="E44" s="17">
        <f t="shared" si="0"/>
        <v>6089.0037048873855</v>
      </c>
      <c r="F44" s="17">
        <f t="shared" si="1"/>
        <v>6089</v>
      </c>
      <c r="G44" s="17">
        <f t="shared" si="2"/>
        <v>6.2600000092061237E-4</v>
      </c>
      <c r="I44" s="17">
        <f>+G44</f>
        <v>6.2600000092061237E-4</v>
      </c>
      <c r="O44" s="17">
        <f t="shared" ca="1" si="3"/>
        <v>-3.0277790657489995E-4</v>
      </c>
      <c r="Q44" s="40">
        <f t="shared" si="4"/>
        <v>39078.8217</v>
      </c>
      <c r="R44"/>
    </row>
    <row r="45" spans="1:18" s="17" customFormat="1" x14ac:dyDescent="0.2">
      <c r="A45" s="32" t="s">
        <v>49</v>
      </c>
      <c r="B45" s="11" t="s">
        <v>28</v>
      </c>
      <c r="C45" s="41">
        <v>54149.701300000001</v>
      </c>
      <c r="D45" s="41">
        <v>2.0000000000000001E-4</v>
      </c>
      <c r="E45" s="17">
        <f t="shared" si="0"/>
        <v>6399.0045334564475</v>
      </c>
      <c r="F45" s="17">
        <f t="shared" si="1"/>
        <v>6399</v>
      </c>
      <c r="G45" s="17">
        <f t="shared" si="2"/>
        <v>7.660000046598725E-4</v>
      </c>
      <c r="K45" s="17">
        <f>+G45</f>
        <v>7.660000046598725E-4</v>
      </c>
      <c r="O45" s="17">
        <f t="shared" ca="1" si="3"/>
        <v>-8.8448335574136706E-5</v>
      </c>
      <c r="Q45" s="40">
        <f t="shared" si="4"/>
        <v>39131.201300000001</v>
      </c>
    </row>
    <row r="46" spans="1:18" s="17" customFormat="1" x14ac:dyDescent="0.2">
      <c r="A46" s="12" t="s">
        <v>47</v>
      </c>
      <c r="B46" s="9" t="s">
        <v>29</v>
      </c>
      <c r="C46" s="10">
        <v>54170.479200000002</v>
      </c>
      <c r="D46" s="10">
        <v>4.0000000000000002E-4</v>
      </c>
      <c r="E46" s="17">
        <f t="shared" si="0"/>
        <v>6521.9754270090025</v>
      </c>
      <c r="F46" s="17">
        <f t="shared" si="1"/>
        <v>6522</v>
      </c>
      <c r="G46" s="17">
        <f t="shared" si="2"/>
        <v>-4.1519999940646812E-3</v>
      </c>
      <c r="K46" s="17">
        <f>+G46</f>
        <v>-4.1519999940646812E-3</v>
      </c>
      <c r="O46" s="17">
        <f t="shared" ca="1" si="3"/>
        <v>-3.4078928867371794E-6</v>
      </c>
      <c r="Q46" s="40">
        <f t="shared" si="4"/>
        <v>39151.979200000002</v>
      </c>
    </row>
    <row r="47" spans="1:18" s="17" customFormat="1" x14ac:dyDescent="0.2">
      <c r="A47" s="10" t="s">
        <v>48</v>
      </c>
      <c r="B47" s="11"/>
      <c r="C47" s="10">
        <v>54174.535799999998</v>
      </c>
      <c r="D47" s="10">
        <v>6.9999999999999999E-4</v>
      </c>
      <c r="E47" s="17">
        <f t="shared" si="0"/>
        <v>6545.9838073931996</v>
      </c>
      <c r="F47" s="17">
        <f t="shared" si="1"/>
        <v>6546</v>
      </c>
      <c r="G47" s="17">
        <f t="shared" si="2"/>
        <v>-2.7360000021872111E-3</v>
      </c>
      <c r="J47" s="17">
        <f>+G47</f>
        <v>-2.7360000021872111E-3</v>
      </c>
      <c r="O47" s="17">
        <f t="shared" ca="1" si="3"/>
        <v>1.318536422299961E-5</v>
      </c>
      <c r="Q47" s="40">
        <f t="shared" si="4"/>
        <v>39156.035799999998</v>
      </c>
    </row>
    <row r="48" spans="1:18" s="17" customFormat="1" x14ac:dyDescent="0.2">
      <c r="A48" s="12" t="s">
        <v>47</v>
      </c>
      <c r="B48" s="9" t="s">
        <v>28</v>
      </c>
      <c r="C48" s="10">
        <v>54200.391000000003</v>
      </c>
      <c r="D48" s="10">
        <v>6.9999999999999999E-4</v>
      </c>
      <c r="E48" s="17">
        <f t="shared" si="0"/>
        <v>6699.0039416214195</v>
      </c>
      <c r="F48" s="17">
        <f t="shared" si="1"/>
        <v>6699</v>
      </c>
      <c r="G48" s="17">
        <f t="shared" si="2"/>
        <v>6.6600000718608499E-4</v>
      </c>
      <c r="K48" s="17">
        <f>+G48</f>
        <v>6.6600000718608499E-4</v>
      </c>
      <c r="O48" s="17">
        <f t="shared" ca="1" si="3"/>
        <v>1.1896737829756969E-4</v>
      </c>
      <c r="Q48" s="40">
        <f t="shared" si="4"/>
        <v>39181.891000000003</v>
      </c>
    </row>
    <row r="49" spans="1:18" s="17" customFormat="1" x14ac:dyDescent="0.2">
      <c r="A49" s="18" t="s">
        <v>54</v>
      </c>
      <c r="C49" s="10">
        <v>54512.805500000002</v>
      </c>
      <c r="D49" s="10">
        <v>2.0000000000000001E-4</v>
      </c>
      <c r="E49" s="17">
        <f t="shared" si="0"/>
        <v>8547.9824343359232</v>
      </c>
      <c r="F49" s="17">
        <f t="shared" si="1"/>
        <v>8548</v>
      </c>
      <c r="G49" s="17">
        <f t="shared" si="2"/>
        <v>-2.9679999934160151E-3</v>
      </c>
      <c r="K49" s="17">
        <f>+G49</f>
        <v>-2.9679999934160151E-3</v>
      </c>
      <c r="O49" s="17">
        <f t="shared" ca="1" si="3"/>
        <v>1.3973395614601883E-3</v>
      </c>
      <c r="Q49" s="40">
        <f t="shared" si="4"/>
        <v>39494.305500000002</v>
      </c>
    </row>
    <row r="50" spans="1:18" s="17" customFormat="1" x14ac:dyDescent="0.2">
      <c r="A50" s="8" t="s">
        <v>51</v>
      </c>
      <c r="B50" s="9" t="s">
        <v>28</v>
      </c>
      <c r="C50" s="10">
        <v>54564.338600000003</v>
      </c>
      <c r="D50" s="10">
        <v>6.9999999999999999E-4</v>
      </c>
      <c r="E50" s="17">
        <f t="shared" si="0"/>
        <v>8852.9733792597581</v>
      </c>
      <c r="F50" s="17">
        <f t="shared" si="1"/>
        <v>8853</v>
      </c>
      <c r="G50" s="17">
        <f t="shared" si="2"/>
        <v>-4.4979999947827309E-3</v>
      </c>
      <c r="J50" s="17">
        <f>+G50</f>
        <v>-4.4979999947827309E-3</v>
      </c>
      <c r="O50" s="17">
        <f t="shared" ca="1" si="3"/>
        <v>1.6082122038964235E-3</v>
      </c>
      <c r="Q50" s="40">
        <f t="shared" si="4"/>
        <v>39545.838600000003</v>
      </c>
    </row>
    <row r="51" spans="1:18" s="17" customFormat="1" x14ac:dyDescent="0.2">
      <c r="A51" s="10" t="s">
        <v>52</v>
      </c>
      <c r="B51" s="9" t="s">
        <v>28</v>
      </c>
      <c r="C51" s="10">
        <v>54874.908000000003</v>
      </c>
      <c r="D51" s="10">
        <v>2E-3</v>
      </c>
      <c r="E51" s="17">
        <f t="shared" si="0"/>
        <v>10691.031923582286</v>
      </c>
      <c r="F51" s="17">
        <f t="shared" si="1"/>
        <v>10691</v>
      </c>
      <c r="G51" s="17">
        <f t="shared" si="2"/>
        <v>5.3940000070724636E-3</v>
      </c>
      <c r="K51" s="17">
        <f>+G51</f>
        <v>5.3940000070724636E-3</v>
      </c>
      <c r="O51" s="17">
        <f t="shared" ca="1" si="3"/>
        <v>2.8789791442170786E-3</v>
      </c>
      <c r="Q51" s="40">
        <f t="shared" si="4"/>
        <v>39856.408000000003</v>
      </c>
    </row>
    <row r="52" spans="1:18" s="17" customFormat="1" x14ac:dyDescent="0.2">
      <c r="A52" s="12" t="s">
        <v>58</v>
      </c>
      <c r="B52" s="13" t="s">
        <v>29</v>
      </c>
      <c r="C52" s="12">
        <v>54933.365899999997</v>
      </c>
      <c r="D52" s="12">
        <v>1.1999999999999999E-3</v>
      </c>
      <c r="E52" s="17">
        <f t="shared" si="0"/>
        <v>11037.006261614753</v>
      </c>
      <c r="F52" s="17">
        <f t="shared" si="1"/>
        <v>11037</v>
      </c>
      <c r="G52" s="17">
        <f t="shared" si="2"/>
        <v>1.0580000016489066E-3</v>
      </c>
      <c r="J52" s="17">
        <f>+G52</f>
        <v>1.0580000016489066E-3</v>
      </c>
      <c r="O52" s="17">
        <f t="shared" ca="1" si="3"/>
        <v>3.1181986008824471E-3</v>
      </c>
      <c r="Q52" s="40">
        <f t="shared" si="4"/>
        <v>39914.865899999997</v>
      </c>
    </row>
    <row r="53" spans="1:18" x14ac:dyDescent="0.2">
      <c r="A53" s="12" t="s">
        <v>58</v>
      </c>
      <c r="B53" s="13" t="s">
        <v>29</v>
      </c>
      <c r="C53" s="12">
        <v>54933.533499999998</v>
      </c>
      <c r="D53" s="12">
        <v>1.5E-3</v>
      </c>
      <c r="E53" s="17">
        <f t="shared" ref="E53:E71" si="5">+(C53-C$7)/C$8</f>
        <v>11037.99817714806</v>
      </c>
      <c r="F53" s="17">
        <f t="shared" ref="F53:F72" si="6">ROUND(2*E53,0)/2</f>
        <v>11038</v>
      </c>
      <c r="G53" s="17">
        <f t="shared" ref="G53:G69" si="7">+C53-(C$7+F53*C$8)</f>
        <v>-3.0800000240560621E-4</v>
      </c>
      <c r="H53" s="17"/>
      <c r="I53" s="17"/>
      <c r="J53" s="17">
        <f>+G53</f>
        <v>-3.0800000240560621E-4</v>
      </c>
      <c r="K53" s="17"/>
      <c r="L53" s="17"/>
      <c r="M53" s="17"/>
      <c r="N53" s="17"/>
      <c r="O53" s="17">
        <f t="shared" ref="O53:O71" ca="1" si="8">+C$11+C$12*$F53</f>
        <v>3.1188899865953528E-3</v>
      </c>
      <c r="P53" s="17"/>
      <c r="Q53" s="40">
        <f t="shared" ref="Q53:Q71" si="9">+C53-15018.5</f>
        <v>39915.033499999998</v>
      </c>
      <c r="R53" s="17"/>
    </row>
    <row r="54" spans="1:18" x14ac:dyDescent="0.2">
      <c r="A54" s="12" t="s">
        <v>58</v>
      </c>
      <c r="B54" s="13" t="s">
        <v>29</v>
      </c>
      <c r="C54" s="12">
        <v>54937.4205</v>
      </c>
      <c r="D54" s="12">
        <v>2.3999999999999998E-3</v>
      </c>
      <c r="E54" s="17">
        <f t="shared" si="5"/>
        <v>11061.002805298118</v>
      </c>
      <c r="F54" s="17">
        <f t="shared" si="6"/>
        <v>11061</v>
      </c>
      <c r="G54" s="17">
        <f t="shared" si="7"/>
        <v>4.7400000039488077E-4</v>
      </c>
      <c r="H54" s="17"/>
      <c r="I54" s="17"/>
      <c r="J54" s="17">
        <f>+G54</f>
        <v>4.7400000039488077E-4</v>
      </c>
      <c r="K54" s="17"/>
      <c r="L54" s="17"/>
      <c r="M54" s="17"/>
      <c r="N54" s="17"/>
      <c r="O54" s="17">
        <f t="shared" ca="1" si="8"/>
        <v>3.1347918579921839E-3</v>
      </c>
      <c r="P54" s="17"/>
      <c r="Q54" s="40">
        <f t="shared" si="9"/>
        <v>39918.9205</v>
      </c>
      <c r="R54" s="17"/>
    </row>
    <row r="55" spans="1:18" x14ac:dyDescent="0.2">
      <c r="A55" s="12" t="s">
        <v>58</v>
      </c>
      <c r="B55" s="13" t="s">
        <v>29</v>
      </c>
      <c r="C55" s="12">
        <v>54937.587899999999</v>
      </c>
      <c r="D55" s="12">
        <v>2.0999999999999999E-3</v>
      </c>
      <c r="E55" s="17">
        <f t="shared" si="5"/>
        <v>11061.993537161323</v>
      </c>
      <c r="F55" s="17">
        <f t="shared" si="6"/>
        <v>11062</v>
      </c>
      <c r="G55" s="17">
        <f t="shared" si="7"/>
        <v>-1.0919999986072071E-3</v>
      </c>
      <c r="H55" s="17"/>
      <c r="I55" s="17"/>
      <c r="J55" s="17">
        <f>+G55</f>
        <v>-1.0919999986072071E-3</v>
      </c>
      <c r="K55" s="17"/>
      <c r="L55" s="17"/>
      <c r="M55" s="17"/>
      <c r="N55" s="17"/>
      <c r="O55" s="17">
        <f t="shared" ca="1" si="8"/>
        <v>3.1354832437050896E-3</v>
      </c>
      <c r="P55" s="17"/>
      <c r="Q55" s="40">
        <f t="shared" si="9"/>
        <v>39919.087899999999</v>
      </c>
      <c r="R55" s="17"/>
    </row>
    <row r="56" spans="1:18" x14ac:dyDescent="0.2">
      <c r="A56" s="10" t="s">
        <v>52</v>
      </c>
      <c r="B56" s="9" t="s">
        <v>28</v>
      </c>
      <c r="C56" s="10">
        <v>54955.6682</v>
      </c>
      <c r="D56" s="10">
        <v>5.9999999999999995E-4</v>
      </c>
      <c r="E56" s="17">
        <f t="shared" si="5"/>
        <v>11168.999088574043</v>
      </c>
      <c r="F56" s="17">
        <f t="shared" si="6"/>
        <v>11169</v>
      </c>
      <c r="G56" s="17">
        <f t="shared" si="7"/>
        <v>-1.5400000120280311E-4</v>
      </c>
      <c r="H56" s="17"/>
      <c r="I56" s="17"/>
      <c r="J56" s="17"/>
      <c r="K56" s="17">
        <f>+G56</f>
        <v>-1.5400000120280311E-4</v>
      </c>
      <c r="L56" s="17"/>
      <c r="M56" s="17"/>
      <c r="N56" s="17"/>
      <c r="O56" s="17">
        <f t="shared" ca="1" si="8"/>
        <v>3.2094615149859977E-3</v>
      </c>
      <c r="P56" s="17"/>
      <c r="Q56" s="40">
        <f t="shared" si="9"/>
        <v>39937.1682</v>
      </c>
      <c r="R56" s="17"/>
    </row>
    <row r="57" spans="1:18" x14ac:dyDescent="0.2">
      <c r="A57" s="10" t="s">
        <v>52</v>
      </c>
      <c r="B57" s="9" t="s">
        <v>29</v>
      </c>
      <c r="C57" s="10">
        <v>54996.385300000002</v>
      </c>
      <c r="D57" s="10">
        <v>5.9999999999999995E-4</v>
      </c>
      <c r="E57" s="17">
        <f t="shared" si="5"/>
        <v>11409.977155167331</v>
      </c>
      <c r="F57" s="17">
        <f t="shared" si="6"/>
        <v>11410</v>
      </c>
      <c r="G57" s="17">
        <f t="shared" si="7"/>
        <v>-3.8599999970756471E-3</v>
      </c>
      <c r="H57" s="17"/>
      <c r="I57" s="17"/>
      <c r="J57" s="17"/>
      <c r="K57" s="17">
        <f>+G57</f>
        <v>-3.8599999970756471E-3</v>
      </c>
      <c r="L57" s="17"/>
      <c r="M57" s="17"/>
      <c r="N57" s="17"/>
      <c r="O57" s="17">
        <f t="shared" ca="1" si="8"/>
        <v>3.3760854717962696E-3</v>
      </c>
      <c r="P57" s="17"/>
      <c r="Q57" s="40">
        <f t="shared" si="9"/>
        <v>39977.885300000002</v>
      </c>
      <c r="R57" s="17"/>
    </row>
    <row r="58" spans="1:18" x14ac:dyDescent="0.2">
      <c r="A58" s="12" t="s">
        <v>55</v>
      </c>
      <c r="B58" s="13" t="s">
        <v>28</v>
      </c>
      <c r="C58" s="12">
        <v>55276.710299999999</v>
      </c>
      <c r="D58" s="12">
        <v>5.9999999999999995E-4</v>
      </c>
      <c r="E58" s="17">
        <f t="shared" si="5"/>
        <v>13069.038741521965</v>
      </c>
      <c r="F58" s="17">
        <f t="shared" si="6"/>
        <v>13069</v>
      </c>
      <c r="G58" s="17">
        <f t="shared" si="7"/>
        <v>6.5459999968879856E-3</v>
      </c>
      <c r="H58" s="17"/>
      <c r="I58" s="17"/>
      <c r="J58" s="17"/>
      <c r="K58" s="17">
        <f>+G58</f>
        <v>6.5459999968879856E-3</v>
      </c>
      <c r="L58" s="17"/>
      <c r="M58" s="17"/>
      <c r="N58" s="17"/>
      <c r="O58" s="17">
        <f t="shared" ca="1" si="8"/>
        <v>4.5230943695068072E-3</v>
      </c>
      <c r="P58" s="17"/>
      <c r="Q58" s="40">
        <f t="shared" si="9"/>
        <v>40258.210299999999</v>
      </c>
      <c r="R58" s="17"/>
    </row>
    <row r="59" spans="1:18" x14ac:dyDescent="0.2">
      <c r="A59" s="12" t="s">
        <v>59</v>
      </c>
      <c r="B59" s="13" t="s">
        <v>29</v>
      </c>
      <c r="C59" s="12">
        <v>55310.502500000002</v>
      </c>
      <c r="D59" s="12">
        <v>1.8E-3</v>
      </c>
      <c r="E59" s="17">
        <f t="shared" si="5"/>
        <v>13269.032823171548</v>
      </c>
      <c r="F59" s="17">
        <f t="shared" si="6"/>
        <v>13269</v>
      </c>
      <c r="G59" s="17">
        <f t="shared" si="7"/>
        <v>5.5460000003222376E-3</v>
      </c>
      <c r="H59" s="17"/>
      <c r="I59" s="17"/>
      <c r="J59" s="17">
        <f>+G59</f>
        <v>5.5460000003222376E-3</v>
      </c>
      <c r="K59" s="17"/>
      <c r="L59" s="17"/>
      <c r="M59" s="17"/>
      <c r="N59" s="17"/>
      <c r="O59" s="17">
        <f t="shared" ca="1" si="8"/>
        <v>4.6613715120879442E-3</v>
      </c>
      <c r="P59" s="17"/>
      <c r="Q59" s="40">
        <f t="shared" si="9"/>
        <v>40292.002500000002</v>
      </c>
      <c r="R59" s="17"/>
    </row>
    <row r="60" spans="1:18" x14ac:dyDescent="0.2">
      <c r="A60" s="12" t="s">
        <v>60</v>
      </c>
      <c r="B60" s="13" t="s">
        <v>29</v>
      </c>
      <c r="C60" s="12">
        <v>55616.833700000003</v>
      </c>
      <c r="D60" s="12">
        <v>8.9999999999999998E-4</v>
      </c>
      <c r="E60" s="17">
        <f t="shared" si="5"/>
        <v>15082.008214670434</v>
      </c>
      <c r="F60" s="17">
        <f t="shared" si="6"/>
        <v>15082</v>
      </c>
      <c r="G60" s="17">
        <f t="shared" si="7"/>
        <v>1.3880000042263418E-3</v>
      </c>
      <c r="H60" s="17"/>
      <c r="I60" s="17"/>
      <c r="J60" s="17"/>
      <c r="K60" s="17">
        <f>+G60</f>
        <v>1.3880000042263418E-3</v>
      </c>
      <c r="L60" s="17"/>
      <c r="M60" s="17"/>
      <c r="N60" s="17"/>
      <c r="O60" s="17">
        <f t="shared" ca="1" si="8"/>
        <v>5.9148538095859567E-3</v>
      </c>
      <c r="P60" s="17"/>
      <c r="Q60" s="40">
        <f t="shared" si="9"/>
        <v>40598.333700000003</v>
      </c>
      <c r="R60" s="17"/>
    </row>
    <row r="61" spans="1:18" x14ac:dyDescent="0.2">
      <c r="A61" s="12" t="s">
        <v>61</v>
      </c>
      <c r="B61" s="13" t="s">
        <v>29</v>
      </c>
      <c r="C61" s="12">
        <v>55646.5743</v>
      </c>
      <c r="D61" s="12">
        <v>1.2999999999999999E-3</v>
      </c>
      <c r="E61" s="17">
        <f t="shared" si="5"/>
        <v>15258.023507687947</v>
      </c>
      <c r="F61" s="17">
        <f t="shared" si="6"/>
        <v>15258</v>
      </c>
      <c r="G61" s="17">
        <f t="shared" si="7"/>
        <v>3.9719999986118637E-3</v>
      </c>
      <c r="H61" s="17"/>
      <c r="I61" s="17"/>
      <c r="J61" s="17">
        <f>+G61</f>
        <v>3.9719999986118637E-3</v>
      </c>
      <c r="K61" s="17"/>
      <c r="L61" s="17"/>
      <c r="M61" s="17"/>
      <c r="N61" s="17"/>
      <c r="O61" s="17">
        <f t="shared" ca="1" si="8"/>
        <v>6.0365376950573587E-3</v>
      </c>
      <c r="P61" s="17"/>
      <c r="Q61" s="40">
        <f t="shared" si="9"/>
        <v>40628.0743</v>
      </c>
      <c r="R61" s="17"/>
    </row>
    <row r="62" spans="1:18" x14ac:dyDescent="0.2">
      <c r="A62" s="10" t="s">
        <v>62</v>
      </c>
      <c r="B62" s="9" t="s">
        <v>29</v>
      </c>
      <c r="C62" s="10">
        <v>55646.7451</v>
      </c>
      <c r="D62" s="10">
        <v>2.9999999999999997E-4</v>
      </c>
      <c r="E62" s="17">
        <f t="shared" si="5"/>
        <v>15259.034361942649</v>
      </c>
      <c r="F62" s="17">
        <f t="shared" si="6"/>
        <v>15259</v>
      </c>
      <c r="G62" s="17">
        <f t="shared" si="7"/>
        <v>5.8060000010300428E-3</v>
      </c>
      <c r="H62" s="17"/>
      <c r="I62" s="17"/>
      <c r="J62" s="17"/>
      <c r="K62" s="17">
        <f>+G62</f>
        <v>5.8060000010300428E-3</v>
      </c>
      <c r="L62" s="17"/>
      <c r="M62" s="17"/>
      <c r="N62" s="17"/>
      <c r="O62" s="17">
        <f t="shared" ca="1" si="8"/>
        <v>6.0372290807702636E-3</v>
      </c>
      <c r="P62" s="17"/>
      <c r="Q62" s="40">
        <f t="shared" si="9"/>
        <v>40628.2451</v>
      </c>
      <c r="R62" s="17"/>
    </row>
    <row r="63" spans="1:18" x14ac:dyDescent="0.2">
      <c r="A63" s="12" t="s">
        <v>61</v>
      </c>
      <c r="B63" s="13" t="s">
        <v>29</v>
      </c>
      <c r="C63" s="12">
        <v>55662.459699999999</v>
      </c>
      <c r="D63" s="12">
        <v>1.8E-3</v>
      </c>
      <c r="E63" s="17">
        <f t="shared" si="5"/>
        <v>15352.038871725677</v>
      </c>
      <c r="F63" s="17">
        <f t="shared" si="6"/>
        <v>15352</v>
      </c>
      <c r="G63" s="17">
        <f t="shared" si="7"/>
        <v>6.5680000043357722E-3</v>
      </c>
      <c r="H63" s="17"/>
      <c r="I63" s="17"/>
      <c r="J63" s="17">
        <f>+G63</f>
        <v>6.5680000043357722E-3</v>
      </c>
      <c r="K63" s="17"/>
      <c r="L63" s="17"/>
      <c r="M63" s="17"/>
      <c r="N63" s="17"/>
      <c r="O63" s="17">
        <f t="shared" ca="1" si="8"/>
        <v>6.1015279520704943E-3</v>
      </c>
      <c r="P63" s="17"/>
      <c r="Q63" s="40">
        <f t="shared" si="9"/>
        <v>40643.959699999999</v>
      </c>
      <c r="R63" s="17"/>
    </row>
    <row r="64" spans="1:18" x14ac:dyDescent="0.2">
      <c r="A64" s="12" t="s">
        <v>61</v>
      </c>
      <c r="B64" s="13" t="s">
        <v>29</v>
      </c>
      <c r="C64" s="12">
        <v>55669.385000000002</v>
      </c>
      <c r="D64" s="12">
        <v>2.8999999999999998E-3</v>
      </c>
      <c r="E64" s="17">
        <f t="shared" si="5"/>
        <v>15393.025224009585</v>
      </c>
      <c r="F64" s="17">
        <f t="shared" si="6"/>
        <v>15393</v>
      </c>
      <c r="G64" s="17">
        <f t="shared" si="7"/>
        <v>4.2620000021997839E-3</v>
      </c>
      <c r="H64" s="17"/>
      <c r="I64" s="17"/>
      <c r="J64" s="17">
        <f>+G64</f>
        <v>4.2620000021997839E-3</v>
      </c>
      <c r="K64" s="17"/>
      <c r="L64" s="17"/>
      <c r="M64" s="17"/>
      <c r="N64" s="17"/>
      <c r="O64" s="17">
        <f t="shared" ca="1" si="8"/>
        <v>6.1298747662996266E-3</v>
      </c>
      <c r="P64" s="17"/>
      <c r="Q64" s="40">
        <f t="shared" si="9"/>
        <v>40650.885000000002</v>
      </c>
      <c r="R64" s="17"/>
    </row>
    <row r="65" spans="1:21" x14ac:dyDescent="0.2">
      <c r="A65" s="12" t="s">
        <v>61</v>
      </c>
      <c r="B65" s="13" t="s">
        <v>29</v>
      </c>
      <c r="C65" s="12">
        <v>55669.557999999997</v>
      </c>
      <c r="D65" s="12">
        <v>2.8E-3</v>
      </c>
      <c r="E65" s="17">
        <f t="shared" si="5"/>
        <v>15394.049098635222</v>
      </c>
      <c r="F65" s="17">
        <f t="shared" si="6"/>
        <v>15394</v>
      </c>
      <c r="G65" s="17">
        <f t="shared" si="7"/>
        <v>8.2959999999729916E-3</v>
      </c>
      <c r="H65" s="17"/>
      <c r="I65" s="17"/>
      <c r="J65" s="17">
        <f>+G65</f>
        <v>8.2959999999729916E-3</v>
      </c>
      <c r="K65" s="17"/>
      <c r="L65" s="17"/>
      <c r="M65" s="17"/>
      <c r="N65" s="17"/>
      <c r="O65" s="17">
        <f t="shared" ca="1" si="8"/>
        <v>6.1305661520125315E-3</v>
      </c>
      <c r="P65" s="17"/>
      <c r="Q65" s="40">
        <f t="shared" si="9"/>
        <v>40651.057999999997</v>
      </c>
      <c r="R65" s="17"/>
    </row>
    <row r="66" spans="1:21" s="17" customFormat="1" x14ac:dyDescent="0.2">
      <c r="A66" s="12" t="s">
        <v>61</v>
      </c>
      <c r="B66" s="13" t="s">
        <v>29</v>
      </c>
      <c r="C66" s="12">
        <v>55675.472800000003</v>
      </c>
      <c r="D66" s="12">
        <v>2.0999999999999999E-3</v>
      </c>
      <c r="E66" s="17">
        <f t="shared" si="5"/>
        <v>15429.054957802189</v>
      </c>
      <c r="F66" s="17">
        <f t="shared" si="6"/>
        <v>15429</v>
      </c>
      <c r="G66" s="17">
        <f t="shared" si="7"/>
        <v>9.2860000077052973E-3</v>
      </c>
      <c r="J66" s="17">
        <f>+G66</f>
        <v>9.2860000077052973E-3</v>
      </c>
      <c r="O66" s="17">
        <f t="shared" ca="1" si="8"/>
        <v>6.1547646519642309E-3</v>
      </c>
      <c r="Q66" s="40">
        <f t="shared" si="9"/>
        <v>40656.972800000003</v>
      </c>
    </row>
    <row r="67" spans="1:21" s="17" customFormat="1" x14ac:dyDescent="0.2">
      <c r="A67" s="10" t="s">
        <v>63</v>
      </c>
      <c r="B67" s="9" t="s">
        <v>29</v>
      </c>
      <c r="C67" s="10">
        <v>55984.844799999999</v>
      </c>
      <c r="D67" s="10">
        <v>5.0000000000000001E-4</v>
      </c>
      <c r="E67" s="17">
        <f t="shared" si="5"/>
        <v>17260.026869310987</v>
      </c>
      <c r="F67" s="17">
        <f t="shared" si="6"/>
        <v>17260</v>
      </c>
      <c r="G67" s="17">
        <f t="shared" si="7"/>
        <v>4.5400000017252751E-3</v>
      </c>
      <c r="K67" s="17">
        <f>+G67</f>
        <v>4.5400000017252751E-3</v>
      </c>
      <c r="O67" s="17">
        <f t="shared" ca="1" si="8"/>
        <v>7.4206918922945474E-3</v>
      </c>
      <c r="Q67" s="40">
        <f t="shared" si="9"/>
        <v>40966.344799999999</v>
      </c>
    </row>
    <row r="68" spans="1:21" s="17" customFormat="1" x14ac:dyDescent="0.2">
      <c r="A68" s="10" t="s">
        <v>63</v>
      </c>
      <c r="B68" s="9" t="s">
        <v>29</v>
      </c>
      <c r="C68" s="10">
        <v>56047.701000000001</v>
      </c>
      <c r="D68" s="10">
        <v>5.9999999999999995E-4</v>
      </c>
      <c r="E68" s="17">
        <f t="shared" si="5"/>
        <v>17632.031888072172</v>
      </c>
      <c r="F68" s="17">
        <f t="shared" si="6"/>
        <v>17632</v>
      </c>
      <c r="G68" s="17">
        <f t="shared" si="7"/>
        <v>5.3880000050412491E-3</v>
      </c>
      <c r="K68" s="17">
        <f>+G68</f>
        <v>5.3880000050412491E-3</v>
      </c>
      <c r="O68" s="17">
        <f t="shared" ca="1" si="8"/>
        <v>7.6778873774954633E-3</v>
      </c>
      <c r="Q68" s="40">
        <f t="shared" si="9"/>
        <v>41029.201000000001</v>
      </c>
    </row>
    <row r="69" spans="1:21" s="17" customFormat="1" x14ac:dyDescent="0.2">
      <c r="A69" s="60" t="s">
        <v>64</v>
      </c>
      <c r="B69" s="61" t="s">
        <v>28</v>
      </c>
      <c r="C69" s="62">
        <v>56061.393499999998</v>
      </c>
      <c r="D69" s="62">
        <v>1.8E-3</v>
      </c>
      <c r="E69" s="17">
        <f t="shared" si="5"/>
        <v>17713.068901435789</v>
      </c>
      <c r="F69" s="17">
        <f t="shared" si="6"/>
        <v>17713</v>
      </c>
      <c r="G69" s="17">
        <f t="shared" si="7"/>
        <v>1.1641999997664243E-2</v>
      </c>
      <c r="J69" s="17">
        <f>+G69</f>
        <v>1.1641999997664243E-2</v>
      </c>
      <c r="O69" s="17">
        <f t="shared" ca="1" si="8"/>
        <v>7.7338896202408247E-3</v>
      </c>
      <c r="Q69" s="40">
        <f t="shared" si="9"/>
        <v>41042.893499999998</v>
      </c>
    </row>
    <row r="70" spans="1:21" s="17" customFormat="1" x14ac:dyDescent="0.2">
      <c r="A70" s="62" t="s">
        <v>301</v>
      </c>
      <c r="B70" s="61"/>
      <c r="C70" s="62">
        <v>57100.383699999998</v>
      </c>
      <c r="D70" s="62">
        <v>4.0000000000000001E-3</v>
      </c>
      <c r="E70" s="17">
        <f t="shared" si="5"/>
        <v>23862.177006024882</v>
      </c>
      <c r="F70" s="17">
        <f t="shared" si="6"/>
        <v>23862</v>
      </c>
      <c r="I70"/>
      <c r="O70" s="17">
        <f t="shared" ca="1" si="8"/>
        <v>1.1985220368897903E-2</v>
      </c>
      <c r="Q70" s="40">
        <f t="shared" si="9"/>
        <v>42081.883699999998</v>
      </c>
      <c r="U70" s="17">
        <f>+C70-(C$7+F70*C$8)</f>
        <v>2.9907999996794388E-2</v>
      </c>
    </row>
    <row r="71" spans="1:21" x14ac:dyDescent="0.2">
      <c r="A71" s="62" t="s">
        <v>301</v>
      </c>
      <c r="B71" s="61"/>
      <c r="C71" s="62">
        <v>57100.544199999997</v>
      </c>
      <c r="D71" s="62">
        <v>5.8999999999999999E-3</v>
      </c>
      <c r="E71" s="17">
        <f t="shared" si="5"/>
        <v>23863.126901270065</v>
      </c>
      <c r="F71" s="17">
        <f t="shared" si="6"/>
        <v>23863</v>
      </c>
      <c r="H71" s="17"/>
      <c r="J71" s="17"/>
      <c r="K71" s="17"/>
      <c r="L71" s="17"/>
      <c r="M71" s="17"/>
      <c r="N71" s="17"/>
      <c r="O71" s="17">
        <f t="shared" ca="1" si="8"/>
        <v>1.198591175461081E-2</v>
      </c>
      <c r="P71" s="17"/>
      <c r="Q71" s="40">
        <f t="shared" si="9"/>
        <v>42082.044199999997</v>
      </c>
      <c r="R71" s="17"/>
      <c r="U71" s="17">
        <f>+C71-(C$7+F71*C$8)</f>
        <v>2.1441999997477978E-2</v>
      </c>
    </row>
    <row r="72" spans="1:21" x14ac:dyDescent="0.2">
      <c r="A72" s="63" t="s">
        <v>303</v>
      </c>
      <c r="B72" s="64" t="s">
        <v>28</v>
      </c>
      <c r="C72" s="65">
        <v>58202.550809999928</v>
      </c>
      <c r="D72" s="65">
        <v>5.9999999999999995E-4</v>
      </c>
      <c r="E72" s="17">
        <f>+(C72-C$7)/C$8</f>
        <v>30385.18820354349</v>
      </c>
      <c r="F72" s="17">
        <f t="shared" si="6"/>
        <v>30385</v>
      </c>
      <c r="G72" s="17">
        <f>+C72-(C$7+F72*C$8)</f>
        <v>3.1799999931536149E-2</v>
      </c>
      <c r="H72" s="17"/>
      <c r="I72" s="17"/>
      <c r="J72" s="17"/>
      <c r="K72" s="17">
        <f>+G72</f>
        <v>3.1799999931536149E-2</v>
      </c>
      <c r="L72" s="17"/>
      <c r="M72" s="17"/>
      <c r="N72" s="17"/>
      <c r="O72" s="17">
        <f ca="1">+C$11+C$12*$F72</f>
        <v>1.6495129374181711E-2</v>
      </c>
      <c r="P72" s="17"/>
      <c r="Q72" s="40">
        <f>+C72-15018.5</f>
        <v>43184.050809999928</v>
      </c>
    </row>
  </sheetData>
  <protectedRanges>
    <protectedRange sqref="A72:D7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28" workbookViewId="0">
      <selection activeCell="A54" sqref="A54:D61"/>
    </sheetView>
  </sheetViews>
  <sheetFormatPr defaultRowHeight="12.75" x14ac:dyDescent="0.2"/>
  <cols>
    <col min="1" max="1" width="19.7109375" style="43" customWidth="1"/>
    <col min="2" max="2" width="4.42578125" style="20" customWidth="1"/>
    <col min="3" max="3" width="12.7109375" style="4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4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2" t="s">
        <v>65</v>
      </c>
      <c r="I1" s="44" t="s">
        <v>66</v>
      </c>
      <c r="J1" s="45" t="s">
        <v>67</v>
      </c>
    </row>
    <row r="2" spans="1:16" x14ac:dyDescent="0.2">
      <c r="I2" s="46" t="s">
        <v>68</v>
      </c>
      <c r="J2" s="47" t="s">
        <v>69</v>
      </c>
    </row>
    <row r="3" spans="1:16" x14ac:dyDescent="0.2">
      <c r="A3" s="48" t="s">
        <v>70</v>
      </c>
      <c r="I3" s="46" t="s">
        <v>71</v>
      </c>
      <c r="J3" s="47" t="s">
        <v>72</v>
      </c>
    </row>
    <row r="4" spans="1:16" x14ac:dyDescent="0.2">
      <c r="I4" s="46" t="s">
        <v>73</v>
      </c>
      <c r="J4" s="47" t="s">
        <v>72</v>
      </c>
    </row>
    <row r="5" spans="1:16" ht="13.5" thickBot="1" x14ac:dyDescent="0.25">
      <c r="I5" s="49" t="s">
        <v>74</v>
      </c>
      <c r="J5" s="50" t="s">
        <v>75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OEJV 0074 </v>
      </c>
      <c r="B11" s="22" t="str">
        <f t="shared" ref="B11:B42" si="1">IF(H11=INT(H11),"I","II")</f>
        <v>I</v>
      </c>
      <c r="C11" s="43">
        <f t="shared" ref="C11:C42" si="2">1*G11</f>
        <v>51968.511659999996</v>
      </c>
      <c r="D11" s="20" t="str">
        <f t="shared" ref="D11:D42" si="3">VLOOKUP(F11,I$1:J$5,2,FALSE)</f>
        <v>vis</v>
      </c>
      <c r="E11" s="51">
        <f>VLOOKUP(C11,Active!C$21:E$973,3,FALSE)</f>
        <v>-6510.0401264159773</v>
      </c>
      <c r="F11" s="22" t="s">
        <v>74</v>
      </c>
      <c r="G11" s="20" t="str">
        <f t="shared" ref="G11:G42" si="4">MID(I11,3,LEN(I11)-3)</f>
        <v>51968.51166</v>
      </c>
      <c r="H11" s="43">
        <f t="shared" ref="H11:H42" si="5">1*K11</f>
        <v>-1573</v>
      </c>
      <c r="I11" s="52" t="s">
        <v>95</v>
      </c>
      <c r="J11" s="53" t="s">
        <v>96</v>
      </c>
      <c r="K11" s="52">
        <v>-1573</v>
      </c>
      <c r="L11" s="52" t="s">
        <v>97</v>
      </c>
      <c r="M11" s="53" t="s">
        <v>98</v>
      </c>
      <c r="N11" s="53" t="s">
        <v>99</v>
      </c>
      <c r="O11" s="54" t="s">
        <v>100</v>
      </c>
      <c r="P11" s="55" t="s">
        <v>101</v>
      </c>
    </row>
    <row r="12" spans="1:16" ht="12.75" customHeight="1" thickBot="1" x14ac:dyDescent="0.25">
      <c r="A12" s="43" t="str">
        <f t="shared" si="0"/>
        <v>OEJV 0074 </v>
      </c>
      <c r="B12" s="22" t="str">
        <f t="shared" si="1"/>
        <v>II</v>
      </c>
      <c r="C12" s="43">
        <f t="shared" si="2"/>
        <v>52001.46011</v>
      </c>
      <c r="D12" s="20" t="str">
        <f t="shared" si="3"/>
        <v>vis</v>
      </c>
      <c r="E12" s="51">
        <f>VLOOKUP(C12,Active!C$21:E$973,3,FALSE)</f>
        <v>-6315.0396529479212</v>
      </c>
      <c r="F12" s="22" t="s">
        <v>74</v>
      </c>
      <c r="G12" s="20" t="str">
        <f t="shared" si="4"/>
        <v>52001.46011</v>
      </c>
      <c r="H12" s="43">
        <f t="shared" si="5"/>
        <v>-1475.5</v>
      </c>
      <c r="I12" s="52" t="s">
        <v>105</v>
      </c>
      <c r="J12" s="53" t="s">
        <v>106</v>
      </c>
      <c r="K12" s="52">
        <v>-1475.5</v>
      </c>
      <c r="L12" s="52" t="s">
        <v>107</v>
      </c>
      <c r="M12" s="53" t="s">
        <v>98</v>
      </c>
      <c r="N12" s="53" t="s">
        <v>99</v>
      </c>
      <c r="O12" s="54" t="s">
        <v>100</v>
      </c>
      <c r="P12" s="55" t="s">
        <v>101</v>
      </c>
    </row>
    <row r="13" spans="1:16" ht="12.75" customHeight="1" thickBot="1" x14ac:dyDescent="0.25">
      <c r="A13" s="43" t="str">
        <f t="shared" si="0"/>
        <v>OEJV 0074 </v>
      </c>
      <c r="B13" s="22" t="str">
        <f t="shared" si="1"/>
        <v>I</v>
      </c>
      <c r="C13" s="43">
        <f t="shared" si="2"/>
        <v>52001.629379999998</v>
      </c>
      <c r="D13" s="20" t="str">
        <f t="shared" si="3"/>
        <v>vis</v>
      </c>
      <c r="E13" s="51">
        <f>VLOOKUP(C13,Active!C$21:E$973,3,FALSE)</f>
        <v>-6314.0378537693969</v>
      </c>
      <c r="F13" s="22" t="s">
        <v>74</v>
      </c>
      <c r="G13" s="20" t="str">
        <f t="shared" si="4"/>
        <v>52001.62938</v>
      </c>
      <c r="H13" s="43">
        <f t="shared" si="5"/>
        <v>-1475</v>
      </c>
      <c r="I13" s="52" t="s">
        <v>108</v>
      </c>
      <c r="J13" s="53" t="s">
        <v>109</v>
      </c>
      <c r="K13" s="52">
        <v>-1475</v>
      </c>
      <c r="L13" s="52" t="s">
        <v>110</v>
      </c>
      <c r="M13" s="53" t="s">
        <v>98</v>
      </c>
      <c r="N13" s="53" t="s">
        <v>99</v>
      </c>
      <c r="O13" s="54" t="s">
        <v>100</v>
      </c>
      <c r="P13" s="55" t="s">
        <v>101</v>
      </c>
    </row>
    <row r="14" spans="1:16" ht="12.75" customHeight="1" thickBot="1" x14ac:dyDescent="0.25">
      <c r="A14" s="43" t="str">
        <f t="shared" si="0"/>
        <v>OEJV 0074 </v>
      </c>
      <c r="B14" s="22" t="str">
        <f t="shared" si="1"/>
        <v>II</v>
      </c>
      <c r="C14" s="43">
        <f t="shared" si="2"/>
        <v>52027.479429999999</v>
      </c>
      <c r="D14" s="20" t="str">
        <f t="shared" si="3"/>
        <v>vis</v>
      </c>
      <c r="E14" s="51">
        <f>VLOOKUP(C14,Active!C$21:E$973,3,FALSE)</f>
        <v>-6161.0481990459557</v>
      </c>
      <c r="F14" s="22" t="s">
        <v>74</v>
      </c>
      <c r="G14" s="20" t="str">
        <f t="shared" si="4"/>
        <v>52027.47943</v>
      </c>
      <c r="H14" s="43">
        <f t="shared" si="5"/>
        <v>-1398.5</v>
      </c>
      <c r="I14" s="52" t="s">
        <v>111</v>
      </c>
      <c r="J14" s="53" t="s">
        <v>112</v>
      </c>
      <c r="K14" s="52">
        <v>-1398.5</v>
      </c>
      <c r="L14" s="52" t="s">
        <v>113</v>
      </c>
      <c r="M14" s="53" t="s">
        <v>98</v>
      </c>
      <c r="N14" s="53" t="s">
        <v>99</v>
      </c>
      <c r="O14" s="54" t="s">
        <v>100</v>
      </c>
      <c r="P14" s="55" t="s">
        <v>101</v>
      </c>
    </row>
    <row r="15" spans="1:16" ht="12.75" customHeight="1" thickBot="1" x14ac:dyDescent="0.25">
      <c r="A15" s="43" t="str">
        <f t="shared" si="0"/>
        <v> BBS 129 </v>
      </c>
      <c r="B15" s="22" t="str">
        <f t="shared" si="1"/>
        <v>II</v>
      </c>
      <c r="C15" s="43">
        <f t="shared" si="2"/>
        <v>52691.518199999999</v>
      </c>
      <c r="D15" s="20" t="str">
        <f t="shared" si="3"/>
        <v>vis</v>
      </c>
      <c r="E15" s="51">
        <f>VLOOKUP(C15,Active!C$21:E$973,3,FALSE)</f>
        <v>-2231.0340541884157</v>
      </c>
      <c r="F15" s="22" t="s">
        <v>74</v>
      </c>
      <c r="G15" s="20" t="str">
        <f t="shared" si="4"/>
        <v>52691.5182</v>
      </c>
      <c r="H15" s="43">
        <f t="shared" si="5"/>
        <v>566.5</v>
      </c>
      <c r="I15" s="52" t="s">
        <v>118</v>
      </c>
      <c r="J15" s="53" t="s">
        <v>119</v>
      </c>
      <c r="K15" s="52">
        <v>566.5</v>
      </c>
      <c r="L15" s="52" t="s">
        <v>120</v>
      </c>
      <c r="M15" s="53" t="s">
        <v>79</v>
      </c>
      <c r="N15" s="53" t="s">
        <v>80</v>
      </c>
      <c r="O15" s="54" t="s">
        <v>81</v>
      </c>
      <c r="P15" s="54" t="s">
        <v>121</v>
      </c>
    </row>
    <row r="16" spans="1:16" ht="12.75" customHeight="1" thickBot="1" x14ac:dyDescent="0.25">
      <c r="A16" s="43" t="str">
        <f t="shared" si="0"/>
        <v> BBS 130 </v>
      </c>
      <c r="B16" s="22" t="str">
        <f t="shared" si="1"/>
        <v>II</v>
      </c>
      <c r="C16" s="43">
        <f t="shared" si="2"/>
        <v>53068.312700000002</v>
      </c>
      <c r="D16" s="20" t="str">
        <f t="shared" si="3"/>
        <v>vis</v>
      </c>
      <c r="E16" s="51">
        <f>VLOOKUP(C16,Active!C$21:E$973,3,FALSE)</f>
        <v>-1.0321603162543931</v>
      </c>
      <c r="F16" s="22" t="s">
        <v>74</v>
      </c>
      <c r="G16" s="20" t="str">
        <f t="shared" si="4"/>
        <v>53068.3127</v>
      </c>
      <c r="H16" s="43">
        <f t="shared" si="5"/>
        <v>1681.5</v>
      </c>
      <c r="I16" s="52" t="s">
        <v>122</v>
      </c>
      <c r="J16" s="53" t="s">
        <v>123</v>
      </c>
      <c r="K16" s="52">
        <v>1681.5</v>
      </c>
      <c r="L16" s="52" t="s">
        <v>124</v>
      </c>
      <c r="M16" s="53" t="s">
        <v>79</v>
      </c>
      <c r="N16" s="53" t="s">
        <v>80</v>
      </c>
      <c r="O16" s="54" t="s">
        <v>81</v>
      </c>
      <c r="P16" s="54" t="s">
        <v>125</v>
      </c>
    </row>
    <row r="17" spans="1:16" ht="12.75" customHeight="1" thickBot="1" x14ac:dyDescent="0.25">
      <c r="A17" s="43" t="str">
        <f t="shared" si="0"/>
        <v> BBS 130 </v>
      </c>
      <c r="B17" s="22" t="str">
        <f t="shared" si="1"/>
        <v>I</v>
      </c>
      <c r="C17" s="43">
        <f t="shared" si="2"/>
        <v>53068.487099999998</v>
      </c>
      <c r="D17" s="20" t="str">
        <f t="shared" si="3"/>
        <v>vis</v>
      </c>
      <c r="E17" s="51">
        <f>VLOOKUP(C17,Active!C$21:E$973,3,FALSE)</f>
        <v>0</v>
      </c>
      <c r="F17" s="22" t="s">
        <v>74</v>
      </c>
      <c r="G17" s="20" t="str">
        <f t="shared" si="4"/>
        <v>53068.4871</v>
      </c>
      <c r="H17" s="43">
        <f t="shared" si="5"/>
        <v>1682</v>
      </c>
      <c r="I17" s="52" t="s">
        <v>126</v>
      </c>
      <c r="J17" s="53" t="s">
        <v>127</v>
      </c>
      <c r="K17" s="52">
        <v>1682</v>
      </c>
      <c r="L17" s="52" t="s">
        <v>128</v>
      </c>
      <c r="M17" s="53" t="s">
        <v>79</v>
      </c>
      <c r="N17" s="53" t="s">
        <v>80</v>
      </c>
      <c r="O17" s="54" t="s">
        <v>81</v>
      </c>
      <c r="P17" s="54" t="s">
        <v>125</v>
      </c>
    </row>
    <row r="18" spans="1:16" ht="12.75" customHeight="1" thickBot="1" x14ac:dyDescent="0.25">
      <c r="A18" s="43" t="str">
        <f t="shared" si="0"/>
        <v>BAVM 241 (=IBVS 6157) </v>
      </c>
      <c r="B18" s="22" t="str">
        <f t="shared" si="1"/>
        <v>I</v>
      </c>
      <c r="C18" s="43">
        <f t="shared" si="2"/>
        <v>57100.383699999998</v>
      </c>
      <c r="D18" s="20" t="str">
        <f t="shared" si="3"/>
        <v>vis</v>
      </c>
      <c r="E18" s="51">
        <f>VLOOKUP(C18,Active!C$21:E$973,3,FALSE)</f>
        <v>23862.177006024882</v>
      </c>
      <c r="F18" s="22" t="s">
        <v>74</v>
      </c>
      <c r="G18" s="20" t="str">
        <f t="shared" si="4"/>
        <v>57100.3837</v>
      </c>
      <c r="H18" s="43">
        <f t="shared" si="5"/>
        <v>13613</v>
      </c>
      <c r="I18" s="52" t="s">
        <v>292</v>
      </c>
      <c r="J18" s="53" t="s">
        <v>293</v>
      </c>
      <c r="K18" s="52" t="s">
        <v>294</v>
      </c>
      <c r="L18" s="52" t="s">
        <v>295</v>
      </c>
      <c r="M18" s="53" t="s">
        <v>98</v>
      </c>
      <c r="N18" s="53" t="s">
        <v>137</v>
      </c>
      <c r="O18" s="54" t="s">
        <v>132</v>
      </c>
      <c r="P18" s="55" t="s">
        <v>296</v>
      </c>
    </row>
    <row r="19" spans="1:16" ht="12.75" customHeight="1" thickBot="1" x14ac:dyDescent="0.25">
      <c r="A19" s="43" t="str">
        <f t="shared" si="0"/>
        <v>BAVM 241 (=IBVS 6157) </v>
      </c>
      <c r="B19" s="22" t="str">
        <f t="shared" si="1"/>
        <v>II</v>
      </c>
      <c r="C19" s="43">
        <f t="shared" si="2"/>
        <v>57100.544199999997</v>
      </c>
      <c r="D19" s="20" t="str">
        <f t="shared" si="3"/>
        <v>vis</v>
      </c>
      <c r="E19" s="51">
        <f>VLOOKUP(C19,Active!C$21:E$973,3,FALSE)</f>
        <v>23863.126901270065</v>
      </c>
      <c r="F19" s="22" t="s">
        <v>74</v>
      </c>
      <c r="G19" s="20" t="str">
        <f t="shared" si="4"/>
        <v>57100.5442</v>
      </c>
      <c r="H19" s="43">
        <f t="shared" si="5"/>
        <v>13613.5</v>
      </c>
      <c r="I19" s="52" t="s">
        <v>297</v>
      </c>
      <c r="J19" s="53" t="s">
        <v>298</v>
      </c>
      <c r="K19" s="52" t="s">
        <v>299</v>
      </c>
      <c r="L19" s="52" t="s">
        <v>300</v>
      </c>
      <c r="M19" s="53" t="s">
        <v>98</v>
      </c>
      <c r="N19" s="53" t="s">
        <v>137</v>
      </c>
      <c r="O19" s="54" t="s">
        <v>132</v>
      </c>
      <c r="P19" s="55" t="s">
        <v>296</v>
      </c>
    </row>
    <row r="20" spans="1:16" ht="12.75" customHeight="1" thickBot="1" x14ac:dyDescent="0.25">
      <c r="A20" s="43" t="str">
        <f t="shared" si="0"/>
        <v>BAVM 172 </v>
      </c>
      <c r="B20" s="22" t="str">
        <f t="shared" si="1"/>
        <v>I</v>
      </c>
      <c r="C20" s="43">
        <f t="shared" si="2"/>
        <v>53095.520100000002</v>
      </c>
      <c r="D20" s="20" t="str">
        <f t="shared" si="3"/>
        <v>vis</v>
      </c>
      <c r="E20" s="51">
        <f>VLOOKUP(C20,Active!C$21:E$973,3,FALSE)</f>
        <v>159.99076737333596</v>
      </c>
      <c r="F20" s="22" t="s">
        <v>74</v>
      </c>
      <c r="G20" s="20" t="str">
        <f t="shared" si="4"/>
        <v>53095.5201</v>
      </c>
      <c r="H20" s="43">
        <f t="shared" si="5"/>
        <v>1762</v>
      </c>
      <c r="I20" s="52" t="s">
        <v>129</v>
      </c>
      <c r="J20" s="53" t="s">
        <v>130</v>
      </c>
      <c r="K20" s="52">
        <v>1762</v>
      </c>
      <c r="L20" s="52" t="s">
        <v>131</v>
      </c>
      <c r="M20" s="53" t="s">
        <v>79</v>
      </c>
      <c r="N20" s="53" t="s">
        <v>99</v>
      </c>
      <c r="O20" s="54" t="s">
        <v>132</v>
      </c>
      <c r="P20" s="55" t="s">
        <v>133</v>
      </c>
    </row>
    <row r="21" spans="1:16" ht="12.75" customHeight="1" thickBot="1" x14ac:dyDescent="0.25">
      <c r="A21" s="43" t="str">
        <f t="shared" si="0"/>
        <v>BAVM 173 </v>
      </c>
      <c r="B21" s="22" t="str">
        <f t="shared" si="1"/>
        <v>II</v>
      </c>
      <c r="C21" s="43">
        <f t="shared" si="2"/>
        <v>53462.345300000001</v>
      </c>
      <c r="D21" s="20" t="str">
        <f t="shared" si="3"/>
        <v>vis</v>
      </c>
      <c r="E21" s="51">
        <f>VLOOKUP(C21,Active!C$21:E$973,3,FALSE)</f>
        <v>2330.9908502302378</v>
      </c>
      <c r="F21" s="22" t="s">
        <v>74</v>
      </c>
      <c r="G21" s="20" t="str">
        <f t="shared" si="4"/>
        <v>53462.3453</v>
      </c>
      <c r="H21" s="43">
        <f t="shared" si="5"/>
        <v>2847.5</v>
      </c>
      <c r="I21" s="52" t="s">
        <v>134</v>
      </c>
      <c r="J21" s="53" t="s">
        <v>135</v>
      </c>
      <c r="K21" s="52">
        <v>2847.5</v>
      </c>
      <c r="L21" s="52" t="s">
        <v>136</v>
      </c>
      <c r="M21" s="53" t="s">
        <v>79</v>
      </c>
      <c r="N21" s="53" t="s">
        <v>137</v>
      </c>
      <c r="O21" s="54" t="s">
        <v>132</v>
      </c>
      <c r="P21" s="55" t="s">
        <v>138</v>
      </c>
    </row>
    <row r="22" spans="1:16" ht="12.75" customHeight="1" thickBot="1" x14ac:dyDescent="0.25">
      <c r="A22" s="43" t="str">
        <f t="shared" si="0"/>
        <v>BAVM 173 </v>
      </c>
      <c r="B22" s="22" t="str">
        <f t="shared" si="1"/>
        <v>I</v>
      </c>
      <c r="C22" s="43">
        <f t="shared" si="2"/>
        <v>53462.5141</v>
      </c>
      <c r="D22" s="20" t="str">
        <f t="shared" si="3"/>
        <v>vis</v>
      </c>
      <c r="E22" s="51">
        <f>VLOOKUP(C22,Active!C$21:E$973,3,FALSE)</f>
        <v>2331.989867784062</v>
      </c>
      <c r="F22" s="22" t="s">
        <v>74</v>
      </c>
      <c r="G22" s="20" t="str">
        <f t="shared" si="4"/>
        <v>53462.5141</v>
      </c>
      <c r="H22" s="43">
        <f t="shared" si="5"/>
        <v>2848</v>
      </c>
      <c r="I22" s="52" t="s">
        <v>139</v>
      </c>
      <c r="J22" s="53" t="s">
        <v>140</v>
      </c>
      <c r="K22" s="52" t="s">
        <v>141</v>
      </c>
      <c r="L22" s="52" t="s">
        <v>142</v>
      </c>
      <c r="M22" s="53" t="s">
        <v>79</v>
      </c>
      <c r="N22" s="53" t="s">
        <v>137</v>
      </c>
      <c r="O22" s="54" t="s">
        <v>132</v>
      </c>
      <c r="P22" s="55" t="s">
        <v>138</v>
      </c>
    </row>
    <row r="23" spans="1:16" ht="12.75" customHeight="1" thickBot="1" x14ac:dyDescent="0.25">
      <c r="A23" s="43" t="str">
        <f t="shared" si="0"/>
        <v>IBVS 5653 </v>
      </c>
      <c r="B23" s="22" t="str">
        <f t="shared" si="1"/>
        <v>II</v>
      </c>
      <c r="C23" s="43">
        <f t="shared" si="2"/>
        <v>53464.374900000003</v>
      </c>
      <c r="D23" s="20" t="str">
        <f t="shared" si="3"/>
        <v>vis</v>
      </c>
      <c r="E23" s="51">
        <f>VLOOKUP(C23,Active!C$21:E$973,3,FALSE)</f>
        <v>2343.0027342779263</v>
      </c>
      <c r="F23" s="22" t="s">
        <v>74</v>
      </c>
      <c r="G23" s="20" t="str">
        <f t="shared" si="4"/>
        <v>53464.3749</v>
      </c>
      <c r="H23" s="43">
        <f t="shared" si="5"/>
        <v>2853.5</v>
      </c>
      <c r="I23" s="52" t="s">
        <v>143</v>
      </c>
      <c r="J23" s="53" t="s">
        <v>144</v>
      </c>
      <c r="K23" s="52" t="s">
        <v>145</v>
      </c>
      <c r="L23" s="52" t="s">
        <v>120</v>
      </c>
      <c r="M23" s="53" t="s">
        <v>79</v>
      </c>
      <c r="N23" s="53" t="s">
        <v>80</v>
      </c>
      <c r="O23" s="54" t="s">
        <v>81</v>
      </c>
      <c r="P23" s="55" t="s">
        <v>146</v>
      </c>
    </row>
    <row r="24" spans="1:16" ht="12.75" customHeight="1" thickBot="1" x14ac:dyDescent="0.25">
      <c r="A24" s="43" t="str">
        <f t="shared" si="0"/>
        <v>BAVM 173 </v>
      </c>
      <c r="B24" s="22" t="str">
        <f t="shared" si="1"/>
        <v>II</v>
      </c>
      <c r="C24" s="43">
        <f t="shared" si="2"/>
        <v>53476.539400000001</v>
      </c>
      <c r="D24" s="20" t="str">
        <f t="shared" si="3"/>
        <v>vis</v>
      </c>
      <c r="E24" s="51">
        <f>VLOOKUP(C24,Active!C$21:E$973,3,FALSE)</f>
        <v>2414.9965081732598</v>
      </c>
      <c r="F24" s="22" t="s">
        <v>74</v>
      </c>
      <c r="G24" s="20" t="str">
        <f t="shared" si="4"/>
        <v>53476.5394</v>
      </c>
      <c r="H24" s="43">
        <f t="shared" si="5"/>
        <v>2889.5</v>
      </c>
      <c r="I24" s="52" t="s">
        <v>147</v>
      </c>
      <c r="J24" s="53" t="s">
        <v>148</v>
      </c>
      <c r="K24" s="52" t="s">
        <v>149</v>
      </c>
      <c r="L24" s="52" t="s">
        <v>150</v>
      </c>
      <c r="M24" s="53" t="s">
        <v>79</v>
      </c>
      <c r="N24" s="53" t="s">
        <v>137</v>
      </c>
      <c r="O24" s="54" t="s">
        <v>132</v>
      </c>
      <c r="P24" s="55" t="s">
        <v>138</v>
      </c>
    </row>
    <row r="25" spans="1:16" ht="12.75" customHeight="1" thickBot="1" x14ac:dyDescent="0.25">
      <c r="A25" s="43" t="str">
        <f t="shared" si="0"/>
        <v>IBVS 5713 </v>
      </c>
      <c r="B25" s="22" t="str">
        <f t="shared" si="1"/>
        <v>II</v>
      </c>
      <c r="C25" s="43">
        <f t="shared" si="2"/>
        <v>53788.452100000002</v>
      </c>
      <c r="D25" s="20" t="str">
        <f t="shared" si="3"/>
        <v>vis</v>
      </c>
      <c r="E25" s="51">
        <f>VLOOKUP(C25,Active!C$21:E$973,3,FALSE)</f>
        <v>4261.0051726383044</v>
      </c>
      <c r="F25" s="22" t="s">
        <v>74</v>
      </c>
      <c r="G25" s="20" t="str">
        <f t="shared" si="4"/>
        <v>53788.4521</v>
      </c>
      <c r="H25" s="43">
        <f t="shared" si="5"/>
        <v>3812.5</v>
      </c>
      <c r="I25" s="52" t="s">
        <v>151</v>
      </c>
      <c r="J25" s="53" t="s">
        <v>152</v>
      </c>
      <c r="K25" s="52" t="s">
        <v>153</v>
      </c>
      <c r="L25" s="52" t="s">
        <v>142</v>
      </c>
      <c r="M25" s="53" t="s">
        <v>79</v>
      </c>
      <c r="N25" s="53" t="s">
        <v>80</v>
      </c>
      <c r="O25" s="54" t="s">
        <v>81</v>
      </c>
      <c r="P25" s="55" t="s">
        <v>154</v>
      </c>
    </row>
    <row r="26" spans="1:16" ht="12.75" customHeight="1" thickBot="1" x14ac:dyDescent="0.25">
      <c r="A26" s="43" t="str">
        <f t="shared" si="0"/>
        <v>IBVS 5814 </v>
      </c>
      <c r="B26" s="22" t="str">
        <f t="shared" si="1"/>
        <v>II</v>
      </c>
      <c r="C26" s="43">
        <f t="shared" si="2"/>
        <v>53811.767899999999</v>
      </c>
      <c r="D26" s="20" t="str">
        <f t="shared" si="3"/>
        <v>vis</v>
      </c>
      <c r="E26" s="51">
        <f>VLOOKUP(C26,Active!C$21:E$973,3,FALSE)</f>
        <v>4398.9962477658255</v>
      </c>
      <c r="F26" s="22" t="s">
        <v>74</v>
      </c>
      <c r="G26" s="20" t="str">
        <f t="shared" si="4"/>
        <v>53811.7679</v>
      </c>
      <c r="H26" s="43">
        <f t="shared" si="5"/>
        <v>3881.5</v>
      </c>
      <c r="I26" s="52" t="s">
        <v>155</v>
      </c>
      <c r="J26" s="53" t="s">
        <v>156</v>
      </c>
      <c r="K26" s="52" t="s">
        <v>157</v>
      </c>
      <c r="L26" s="52" t="s">
        <v>158</v>
      </c>
      <c r="M26" s="53" t="s">
        <v>98</v>
      </c>
      <c r="N26" s="53" t="s">
        <v>74</v>
      </c>
      <c r="O26" s="54" t="s">
        <v>159</v>
      </c>
      <c r="P26" s="55" t="s">
        <v>160</v>
      </c>
    </row>
    <row r="27" spans="1:16" ht="12.75" customHeight="1" thickBot="1" x14ac:dyDescent="0.25">
      <c r="A27" s="43" t="str">
        <f t="shared" si="0"/>
        <v>BAVM 178 </v>
      </c>
      <c r="B27" s="22" t="str">
        <f t="shared" si="1"/>
        <v>I</v>
      </c>
      <c r="C27" s="43">
        <f t="shared" si="2"/>
        <v>53845.388800000001</v>
      </c>
      <c r="D27" s="20" t="str">
        <f t="shared" si="3"/>
        <v>vis</v>
      </c>
      <c r="E27" s="51">
        <f>VLOOKUP(C27,Active!C$21:E$973,3,FALSE)</f>
        <v>4597.9765159854769</v>
      </c>
      <c r="F27" s="22" t="s">
        <v>74</v>
      </c>
      <c r="G27" s="20" t="str">
        <f t="shared" si="4"/>
        <v>53845.3888</v>
      </c>
      <c r="H27" s="43">
        <f t="shared" si="5"/>
        <v>3981</v>
      </c>
      <c r="I27" s="52" t="s">
        <v>161</v>
      </c>
      <c r="J27" s="53" t="s">
        <v>162</v>
      </c>
      <c r="K27" s="52" t="s">
        <v>163</v>
      </c>
      <c r="L27" s="52" t="s">
        <v>164</v>
      </c>
      <c r="M27" s="53" t="s">
        <v>98</v>
      </c>
      <c r="N27" s="53" t="s">
        <v>99</v>
      </c>
      <c r="O27" s="54" t="s">
        <v>165</v>
      </c>
      <c r="P27" s="55" t="s">
        <v>166</v>
      </c>
    </row>
    <row r="28" spans="1:16" ht="12.75" customHeight="1" thickBot="1" x14ac:dyDescent="0.25">
      <c r="A28" s="43" t="str">
        <f t="shared" si="0"/>
        <v>BAVM 178 </v>
      </c>
      <c r="B28" s="22" t="str">
        <f t="shared" si="1"/>
        <v>II</v>
      </c>
      <c r="C28" s="43">
        <f t="shared" si="2"/>
        <v>53863.464099999997</v>
      </c>
      <c r="D28" s="20" t="str">
        <f t="shared" si="3"/>
        <v>vis</v>
      </c>
      <c r="E28" s="51">
        <f>VLOOKUP(C28,Active!C$21:E$973,3,FALSE)</f>
        <v>4704.9524756459814</v>
      </c>
      <c r="F28" s="22" t="s">
        <v>74</v>
      </c>
      <c r="G28" s="20" t="str">
        <f t="shared" si="4"/>
        <v>53863.4641</v>
      </c>
      <c r="H28" s="43">
        <f t="shared" si="5"/>
        <v>4034.5</v>
      </c>
      <c r="I28" s="52" t="s">
        <v>167</v>
      </c>
      <c r="J28" s="53" t="s">
        <v>168</v>
      </c>
      <c r="K28" s="52" t="s">
        <v>169</v>
      </c>
      <c r="L28" s="52" t="s">
        <v>170</v>
      </c>
      <c r="M28" s="53" t="s">
        <v>98</v>
      </c>
      <c r="N28" s="53" t="s">
        <v>137</v>
      </c>
      <c r="O28" s="54" t="s">
        <v>171</v>
      </c>
      <c r="P28" s="55" t="s">
        <v>166</v>
      </c>
    </row>
    <row r="29" spans="1:16" ht="12.75" customHeight="1" thickBot="1" x14ac:dyDescent="0.25">
      <c r="A29" s="43" t="str">
        <f t="shared" si="0"/>
        <v>IBVS 5814 </v>
      </c>
      <c r="B29" s="22" t="str">
        <f t="shared" si="1"/>
        <v>II</v>
      </c>
      <c r="C29" s="43">
        <f t="shared" si="2"/>
        <v>54149.701300000001</v>
      </c>
      <c r="D29" s="20" t="str">
        <f t="shared" si="3"/>
        <v>vis</v>
      </c>
      <c r="E29" s="51">
        <f>VLOOKUP(C29,Active!C$21:E$973,3,FALSE)</f>
        <v>6399.0045334564475</v>
      </c>
      <c r="F29" s="22" t="s">
        <v>74</v>
      </c>
      <c r="G29" s="20" t="str">
        <f t="shared" si="4"/>
        <v>54149.7013</v>
      </c>
      <c r="H29" s="43">
        <f t="shared" si="5"/>
        <v>4881.5</v>
      </c>
      <c r="I29" s="52" t="s">
        <v>178</v>
      </c>
      <c r="J29" s="53" t="s">
        <v>179</v>
      </c>
      <c r="K29" s="52" t="s">
        <v>180</v>
      </c>
      <c r="L29" s="52" t="s">
        <v>181</v>
      </c>
      <c r="M29" s="53" t="s">
        <v>98</v>
      </c>
      <c r="N29" s="53" t="s">
        <v>74</v>
      </c>
      <c r="O29" s="54" t="s">
        <v>159</v>
      </c>
      <c r="P29" s="55" t="s">
        <v>160</v>
      </c>
    </row>
    <row r="30" spans="1:16" ht="12.75" customHeight="1" thickBot="1" x14ac:dyDescent="0.25">
      <c r="A30" s="43" t="str">
        <f t="shared" si="0"/>
        <v> BBS 133 (=IBVS 5781) </v>
      </c>
      <c r="B30" s="22" t="str">
        <f t="shared" si="1"/>
        <v>I</v>
      </c>
      <c r="C30" s="43">
        <f t="shared" si="2"/>
        <v>54170.479200000002</v>
      </c>
      <c r="D30" s="20" t="str">
        <f t="shared" si="3"/>
        <v>vis</v>
      </c>
      <c r="E30" s="51">
        <f>VLOOKUP(C30,Active!C$21:E$973,3,FALSE)</f>
        <v>6521.9754270090025</v>
      </c>
      <c r="F30" s="22" t="s">
        <v>74</v>
      </c>
      <c r="G30" s="20" t="str">
        <f t="shared" si="4"/>
        <v>54170.4792</v>
      </c>
      <c r="H30" s="43">
        <f t="shared" si="5"/>
        <v>4943</v>
      </c>
      <c r="I30" s="52" t="s">
        <v>182</v>
      </c>
      <c r="J30" s="53" t="s">
        <v>183</v>
      </c>
      <c r="K30" s="52" t="s">
        <v>184</v>
      </c>
      <c r="L30" s="52" t="s">
        <v>185</v>
      </c>
      <c r="M30" s="53" t="s">
        <v>98</v>
      </c>
      <c r="N30" s="53" t="s">
        <v>99</v>
      </c>
      <c r="O30" s="54" t="s">
        <v>81</v>
      </c>
      <c r="P30" s="54" t="s">
        <v>186</v>
      </c>
    </row>
    <row r="31" spans="1:16" ht="12.75" customHeight="1" thickBot="1" x14ac:dyDescent="0.25">
      <c r="A31" s="43" t="str">
        <f t="shared" si="0"/>
        <v>BAVM 186 </v>
      </c>
      <c r="B31" s="22" t="str">
        <f t="shared" si="1"/>
        <v>I</v>
      </c>
      <c r="C31" s="43">
        <f t="shared" si="2"/>
        <v>54174.535799999998</v>
      </c>
      <c r="D31" s="20" t="str">
        <f t="shared" si="3"/>
        <v>vis</v>
      </c>
      <c r="E31" s="51">
        <f>VLOOKUP(C31,Active!C$21:E$973,3,FALSE)</f>
        <v>6545.9838073931996</v>
      </c>
      <c r="F31" s="22" t="s">
        <v>74</v>
      </c>
      <c r="G31" s="20" t="str">
        <f t="shared" si="4"/>
        <v>54174.5358</v>
      </c>
      <c r="H31" s="43">
        <f t="shared" si="5"/>
        <v>4955</v>
      </c>
      <c r="I31" s="52" t="s">
        <v>187</v>
      </c>
      <c r="J31" s="53" t="s">
        <v>188</v>
      </c>
      <c r="K31" s="52" t="s">
        <v>189</v>
      </c>
      <c r="L31" s="52" t="s">
        <v>190</v>
      </c>
      <c r="M31" s="53" t="s">
        <v>98</v>
      </c>
      <c r="N31" s="53" t="s">
        <v>137</v>
      </c>
      <c r="O31" s="54" t="s">
        <v>132</v>
      </c>
      <c r="P31" s="55" t="s">
        <v>191</v>
      </c>
    </row>
    <row r="32" spans="1:16" ht="12.75" customHeight="1" thickBot="1" x14ac:dyDescent="0.25">
      <c r="A32" s="43" t="str">
        <f t="shared" si="0"/>
        <v> BBS 133 (=IBVS 5781) </v>
      </c>
      <c r="B32" s="22" t="str">
        <f t="shared" si="1"/>
        <v>II</v>
      </c>
      <c r="C32" s="43">
        <f t="shared" si="2"/>
        <v>54200.391000000003</v>
      </c>
      <c r="D32" s="20" t="str">
        <f t="shared" si="3"/>
        <v>vis</v>
      </c>
      <c r="E32" s="51">
        <f>VLOOKUP(C32,Active!C$21:E$973,3,FALSE)</f>
        <v>6699.0039416214195</v>
      </c>
      <c r="F32" s="22" t="s">
        <v>74</v>
      </c>
      <c r="G32" s="20" t="str">
        <f t="shared" si="4"/>
        <v>54200.3910</v>
      </c>
      <c r="H32" s="43">
        <f t="shared" si="5"/>
        <v>5031.5</v>
      </c>
      <c r="I32" s="52" t="s">
        <v>192</v>
      </c>
      <c r="J32" s="53" t="s">
        <v>193</v>
      </c>
      <c r="K32" s="52" t="s">
        <v>194</v>
      </c>
      <c r="L32" s="52" t="s">
        <v>195</v>
      </c>
      <c r="M32" s="53" t="s">
        <v>98</v>
      </c>
      <c r="N32" s="53" t="s">
        <v>74</v>
      </c>
      <c r="O32" s="54" t="s">
        <v>196</v>
      </c>
      <c r="P32" s="54" t="s">
        <v>186</v>
      </c>
    </row>
    <row r="33" spans="1:16" ht="12.75" customHeight="1" thickBot="1" x14ac:dyDescent="0.25">
      <c r="A33" s="43" t="str">
        <f t="shared" si="0"/>
        <v>IBVS 5875 </v>
      </c>
      <c r="B33" s="22" t="str">
        <f t="shared" si="1"/>
        <v>I</v>
      </c>
      <c r="C33" s="43">
        <f t="shared" si="2"/>
        <v>54512.805500000002</v>
      </c>
      <c r="D33" s="20" t="str">
        <f t="shared" si="3"/>
        <v>vis</v>
      </c>
      <c r="E33" s="51">
        <f>VLOOKUP(C33,Active!C$21:E$973,3,FALSE)</f>
        <v>8547.9824343359232</v>
      </c>
      <c r="F33" s="22" t="s">
        <v>74</v>
      </c>
      <c r="G33" s="20" t="str">
        <f t="shared" si="4"/>
        <v>54512.8055</v>
      </c>
      <c r="H33" s="43">
        <f t="shared" si="5"/>
        <v>5956</v>
      </c>
      <c r="I33" s="52" t="s">
        <v>197</v>
      </c>
      <c r="J33" s="53" t="s">
        <v>198</v>
      </c>
      <c r="K33" s="52" t="s">
        <v>199</v>
      </c>
      <c r="L33" s="52" t="s">
        <v>200</v>
      </c>
      <c r="M33" s="53" t="s">
        <v>98</v>
      </c>
      <c r="N33" s="53" t="s">
        <v>66</v>
      </c>
      <c r="O33" s="54" t="s">
        <v>201</v>
      </c>
      <c r="P33" s="55" t="s">
        <v>202</v>
      </c>
    </row>
    <row r="34" spans="1:16" ht="12.75" customHeight="1" thickBot="1" x14ac:dyDescent="0.25">
      <c r="A34" s="43" t="str">
        <f t="shared" si="0"/>
        <v>IBVS 5837 </v>
      </c>
      <c r="B34" s="22" t="str">
        <f t="shared" si="1"/>
        <v>II</v>
      </c>
      <c r="C34" s="43">
        <f t="shared" si="2"/>
        <v>54564.338600000003</v>
      </c>
      <c r="D34" s="20" t="str">
        <f t="shared" si="3"/>
        <v>vis</v>
      </c>
      <c r="E34" s="51">
        <f>VLOOKUP(C34,Active!C$21:E$973,3,FALSE)</f>
        <v>8852.9733792597581</v>
      </c>
      <c r="F34" s="22" t="s">
        <v>74</v>
      </c>
      <c r="G34" s="20" t="str">
        <f t="shared" si="4"/>
        <v>54564.3386</v>
      </c>
      <c r="H34" s="43">
        <f t="shared" si="5"/>
        <v>6108.5</v>
      </c>
      <c r="I34" s="52" t="s">
        <v>203</v>
      </c>
      <c r="J34" s="53" t="s">
        <v>204</v>
      </c>
      <c r="K34" s="52" t="s">
        <v>205</v>
      </c>
      <c r="L34" s="52" t="s">
        <v>206</v>
      </c>
      <c r="M34" s="53" t="s">
        <v>98</v>
      </c>
      <c r="N34" s="53" t="s">
        <v>66</v>
      </c>
      <c r="O34" s="54" t="s">
        <v>81</v>
      </c>
      <c r="P34" s="55" t="s">
        <v>207</v>
      </c>
    </row>
    <row r="35" spans="1:16" ht="12.75" customHeight="1" thickBot="1" x14ac:dyDescent="0.25">
      <c r="A35" s="43" t="str">
        <f t="shared" si="0"/>
        <v>IBVS 5894 </v>
      </c>
      <c r="B35" s="22" t="str">
        <f t="shared" si="1"/>
        <v>II</v>
      </c>
      <c r="C35" s="43">
        <f t="shared" si="2"/>
        <v>54874.908000000003</v>
      </c>
      <c r="D35" s="20" t="str">
        <f t="shared" si="3"/>
        <v>vis</v>
      </c>
      <c r="E35" s="51">
        <f>VLOOKUP(C35,Active!C$21:E$973,3,FALSE)</f>
        <v>10691.031923582286</v>
      </c>
      <c r="F35" s="22" t="s">
        <v>74</v>
      </c>
      <c r="G35" s="20" t="str">
        <f t="shared" si="4"/>
        <v>54874.908</v>
      </c>
      <c r="H35" s="43">
        <f t="shared" si="5"/>
        <v>7027.5</v>
      </c>
      <c r="I35" s="52" t="s">
        <v>208</v>
      </c>
      <c r="J35" s="53" t="s">
        <v>209</v>
      </c>
      <c r="K35" s="52" t="s">
        <v>210</v>
      </c>
      <c r="L35" s="52" t="s">
        <v>211</v>
      </c>
      <c r="M35" s="53" t="s">
        <v>98</v>
      </c>
      <c r="N35" s="53" t="s">
        <v>74</v>
      </c>
      <c r="O35" s="54" t="s">
        <v>196</v>
      </c>
      <c r="P35" s="55" t="s">
        <v>212</v>
      </c>
    </row>
    <row r="36" spans="1:16" ht="12.75" customHeight="1" thickBot="1" x14ac:dyDescent="0.25">
      <c r="A36" s="43" t="str">
        <f t="shared" si="0"/>
        <v>BAVM 209 </v>
      </c>
      <c r="B36" s="22" t="str">
        <f t="shared" si="1"/>
        <v>II</v>
      </c>
      <c r="C36" s="43">
        <f t="shared" si="2"/>
        <v>54933.365899999997</v>
      </c>
      <c r="D36" s="20" t="str">
        <f t="shared" si="3"/>
        <v>vis</v>
      </c>
      <c r="E36" s="51">
        <f>VLOOKUP(C36,Active!C$21:E$973,3,FALSE)</f>
        <v>11037.006261614753</v>
      </c>
      <c r="F36" s="22" t="s">
        <v>74</v>
      </c>
      <c r="G36" s="20" t="str">
        <f t="shared" si="4"/>
        <v>54933.3659</v>
      </c>
      <c r="H36" s="43">
        <f t="shared" si="5"/>
        <v>7200.5</v>
      </c>
      <c r="I36" s="52" t="s">
        <v>213</v>
      </c>
      <c r="J36" s="53" t="s">
        <v>214</v>
      </c>
      <c r="K36" s="52" t="s">
        <v>215</v>
      </c>
      <c r="L36" s="52" t="s">
        <v>216</v>
      </c>
      <c r="M36" s="53" t="s">
        <v>98</v>
      </c>
      <c r="N36" s="53" t="s">
        <v>137</v>
      </c>
      <c r="O36" s="54" t="s">
        <v>132</v>
      </c>
      <c r="P36" s="55" t="s">
        <v>217</v>
      </c>
    </row>
    <row r="37" spans="1:16" ht="12.75" customHeight="1" thickBot="1" x14ac:dyDescent="0.25">
      <c r="A37" s="43" t="str">
        <f t="shared" si="0"/>
        <v>BAVM 209 </v>
      </c>
      <c r="B37" s="22" t="str">
        <f t="shared" si="1"/>
        <v>I</v>
      </c>
      <c r="C37" s="43">
        <f t="shared" si="2"/>
        <v>54933.533499999998</v>
      </c>
      <c r="D37" s="20" t="str">
        <f t="shared" si="3"/>
        <v>vis</v>
      </c>
      <c r="E37" s="51">
        <f>VLOOKUP(C37,Active!C$21:E$973,3,FALSE)</f>
        <v>11037.99817714806</v>
      </c>
      <c r="F37" s="22" t="s">
        <v>74</v>
      </c>
      <c r="G37" s="20" t="str">
        <f t="shared" si="4"/>
        <v>54933.5335</v>
      </c>
      <c r="H37" s="43">
        <f t="shared" si="5"/>
        <v>7201</v>
      </c>
      <c r="I37" s="52" t="s">
        <v>218</v>
      </c>
      <c r="J37" s="53" t="s">
        <v>219</v>
      </c>
      <c r="K37" s="52" t="s">
        <v>220</v>
      </c>
      <c r="L37" s="52" t="s">
        <v>221</v>
      </c>
      <c r="M37" s="53" t="s">
        <v>98</v>
      </c>
      <c r="N37" s="53" t="s">
        <v>137</v>
      </c>
      <c r="O37" s="54" t="s">
        <v>132</v>
      </c>
      <c r="P37" s="55" t="s">
        <v>217</v>
      </c>
    </row>
    <row r="38" spans="1:16" ht="12.75" customHeight="1" thickBot="1" x14ac:dyDescent="0.25">
      <c r="A38" s="43" t="str">
        <f t="shared" si="0"/>
        <v>BAVM 209 </v>
      </c>
      <c r="B38" s="22" t="str">
        <f t="shared" si="1"/>
        <v>II</v>
      </c>
      <c r="C38" s="43">
        <f t="shared" si="2"/>
        <v>54937.4205</v>
      </c>
      <c r="D38" s="20" t="str">
        <f t="shared" si="3"/>
        <v>vis</v>
      </c>
      <c r="E38" s="51">
        <f>VLOOKUP(C38,Active!C$21:E$973,3,FALSE)</f>
        <v>11061.002805298118</v>
      </c>
      <c r="F38" s="22" t="s">
        <v>74</v>
      </c>
      <c r="G38" s="20" t="str">
        <f t="shared" si="4"/>
        <v>54937.4205</v>
      </c>
      <c r="H38" s="43">
        <f t="shared" si="5"/>
        <v>7212.5</v>
      </c>
      <c r="I38" s="52" t="s">
        <v>222</v>
      </c>
      <c r="J38" s="53" t="s">
        <v>223</v>
      </c>
      <c r="K38" s="52" t="s">
        <v>224</v>
      </c>
      <c r="L38" s="52" t="s">
        <v>225</v>
      </c>
      <c r="M38" s="53" t="s">
        <v>98</v>
      </c>
      <c r="N38" s="53" t="s">
        <v>137</v>
      </c>
      <c r="O38" s="54" t="s">
        <v>132</v>
      </c>
      <c r="P38" s="55" t="s">
        <v>217</v>
      </c>
    </row>
    <row r="39" spans="1:16" ht="12.75" customHeight="1" thickBot="1" x14ac:dyDescent="0.25">
      <c r="A39" s="43" t="str">
        <f t="shared" si="0"/>
        <v>BAVM 209 </v>
      </c>
      <c r="B39" s="22" t="str">
        <f t="shared" si="1"/>
        <v>I</v>
      </c>
      <c r="C39" s="43">
        <f t="shared" si="2"/>
        <v>54937.587899999999</v>
      </c>
      <c r="D39" s="20" t="str">
        <f t="shared" si="3"/>
        <v>vis</v>
      </c>
      <c r="E39" s="51">
        <f>VLOOKUP(C39,Active!C$21:E$973,3,FALSE)</f>
        <v>11061.993537161323</v>
      </c>
      <c r="F39" s="22" t="s">
        <v>74</v>
      </c>
      <c r="G39" s="20" t="str">
        <f t="shared" si="4"/>
        <v>54937.5879</v>
      </c>
      <c r="H39" s="43">
        <f t="shared" si="5"/>
        <v>7213</v>
      </c>
      <c r="I39" s="52" t="s">
        <v>226</v>
      </c>
      <c r="J39" s="53" t="s">
        <v>227</v>
      </c>
      <c r="K39" s="52" t="s">
        <v>228</v>
      </c>
      <c r="L39" s="52" t="s">
        <v>229</v>
      </c>
      <c r="M39" s="53" t="s">
        <v>98</v>
      </c>
      <c r="N39" s="53" t="s">
        <v>137</v>
      </c>
      <c r="O39" s="54" t="s">
        <v>132</v>
      </c>
      <c r="P39" s="55" t="s">
        <v>217</v>
      </c>
    </row>
    <row r="40" spans="1:16" ht="12.75" customHeight="1" thickBot="1" x14ac:dyDescent="0.25">
      <c r="A40" s="43" t="str">
        <f t="shared" si="0"/>
        <v>IBVS 5894 </v>
      </c>
      <c r="B40" s="22" t="str">
        <f t="shared" si="1"/>
        <v>II</v>
      </c>
      <c r="C40" s="43">
        <f t="shared" si="2"/>
        <v>54955.6682</v>
      </c>
      <c r="D40" s="20" t="str">
        <f t="shared" si="3"/>
        <v>vis</v>
      </c>
      <c r="E40" s="51">
        <f>VLOOKUP(C40,Active!C$21:E$973,3,FALSE)</f>
        <v>11168.999088574043</v>
      </c>
      <c r="F40" s="22" t="s">
        <v>74</v>
      </c>
      <c r="G40" s="20" t="str">
        <f t="shared" si="4"/>
        <v>54955.6682</v>
      </c>
      <c r="H40" s="43">
        <f t="shared" si="5"/>
        <v>7266.5</v>
      </c>
      <c r="I40" s="52" t="s">
        <v>230</v>
      </c>
      <c r="J40" s="53" t="s">
        <v>231</v>
      </c>
      <c r="K40" s="52" t="s">
        <v>232</v>
      </c>
      <c r="L40" s="52" t="s">
        <v>221</v>
      </c>
      <c r="M40" s="53" t="s">
        <v>98</v>
      </c>
      <c r="N40" s="53" t="s">
        <v>74</v>
      </c>
      <c r="O40" s="54" t="s">
        <v>196</v>
      </c>
      <c r="P40" s="55" t="s">
        <v>212</v>
      </c>
    </row>
    <row r="41" spans="1:16" ht="12.75" customHeight="1" thickBot="1" x14ac:dyDescent="0.25">
      <c r="A41" s="43" t="str">
        <f t="shared" si="0"/>
        <v>IBVS 5894 </v>
      </c>
      <c r="B41" s="22" t="str">
        <f t="shared" si="1"/>
        <v>I</v>
      </c>
      <c r="C41" s="43">
        <f t="shared" si="2"/>
        <v>54996.385300000002</v>
      </c>
      <c r="D41" s="20" t="str">
        <f t="shared" si="3"/>
        <v>vis</v>
      </c>
      <c r="E41" s="51">
        <f>VLOOKUP(C41,Active!C$21:E$973,3,FALSE)</f>
        <v>11409.977155167331</v>
      </c>
      <c r="F41" s="22" t="s">
        <v>74</v>
      </c>
      <c r="G41" s="20" t="str">
        <f t="shared" si="4"/>
        <v>54996.3853</v>
      </c>
      <c r="H41" s="43">
        <f t="shared" si="5"/>
        <v>7387</v>
      </c>
      <c r="I41" s="52" t="s">
        <v>233</v>
      </c>
      <c r="J41" s="53" t="s">
        <v>234</v>
      </c>
      <c r="K41" s="52" t="s">
        <v>235</v>
      </c>
      <c r="L41" s="52" t="s">
        <v>236</v>
      </c>
      <c r="M41" s="53" t="s">
        <v>98</v>
      </c>
      <c r="N41" s="53" t="s">
        <v>66</v>
      </c>
      <c r="O41" s="54" t="s">
        <v>81</v>
      </c>
      <c r="P41" s="55" t="s">
        <v>212</v>
      </c>
    </row>
    <row r="42" spans="1:16" ht="12.75" customHeight="1" thickBot="1" x14ac:dyDescent="0.25">
      <c r="A42" s="43" t="str">
        <f t="shared" si="0"/>
        <v>IBVS 5945 </v>
      </c>
      <c r="B42" s="22" t="str">
        <f t="shared" si="1"/>
        <v>II</v>
      </c>
      <c r="C42" s="43">
        <f t="shared" si="2"/>
        <v>55276.710299999999</v>
      </c>
      <c r="D42" s="20" t="str">
        <f t="shared" si="3"/>
        <v>vis</v>
      </c>
      <c r="E42" s="51">
        <f>VLOOKUP(C42,Active!C$21:E$973,3,FALSE)</f>
        <v>13069.038741521965</v>
      </c>
      <c r="F42" s="22" t="s">
        <v>74</v>
      </c>
      <c r="G42" s="20" t="str">
        <f t="shared" si="4"/>
        <v>55276.7103</v>
      </c>
      <c r="H42" s="43">
        <f t="shared" si="5"/>
        <v>8216.5</v>
      </c>
      <c r="I42" s="52" t="s">
        <v>237</v>
      </c>
      <c r="J42" s="53" t="s">
        <v>238</v>
      </c>
      <c r="K42" s="52" t="s">
        <v>239</v>
      </c>
      <c r="L42" s="52" t="s">
        <v>240</v>
      </c>
      <c r="M42" s="53" t="s">
        <v>98</v>
      </c>
      <c r="N42" s="53" t="s">
        <v>74</v>
      </c>
      <c r="O42" s="54" t="s">
        <v>196</v>
      </c>
      <c r="P42" s="55" t="s">
        <v>241</v>
      </c>
    </row>
    <row r="43" spans="1:16" ht="12.75" customHeight="1" thickBot="1" x14ac:dyDescent="0.25">
      <c r="A43" s="43" t="str">
        <f t="shared" ref="A43:A61" si="6">P43</f>
        <v>BAVM 214 </v>
      </c>
      <c r="B43" s="22" t="str">
        <f t="shared" ref="B43:B61" si="7">IF(H43=INT(H43),"I","II")</f>
        <v>II</v>
      </c>
      <c r="C43" s="43">
        <f t="shared" ref="C43:C61" si="8">1*G43</f>
        <v>55310.502500000002</v>
      </c>
      <c r="D43" s="20" t="str">
        <f t="shared" ref="D43:D61" si="9">VLOOKUP(F43,I$1:J$5,2,FALSE)</f>
        <v>vis</v>
      </c>
      <c r="E43" s="51">
        <f>VLOOKUP(C43,Active!C$21:E$973,3,FALSE)</f>
        <v>13269.032823171548</v>
      </c>
      <c r="F43" s="22" t="s">
        <v>74</v>
      </c>
      <c r="G43" s="20" t="str">
        <f t="shared" ref="G43:G61" si="10">MID(I43,3,LEN(I43)-3)</f>
        <v>55310.5025</v>
      </c>
      <c r="H43" s="43">
        <f t="shared" ref="H43:H61" si="11">1*K43</f>
        <v>8316.5</v>
      </c>
      <c r="I43" s="52" t="s">
        <v>242</v>
      </c>
      <c r="J43" s="53" t="s">
        <v>243</v>
      </c>
      <c r="K43" s="52" t="s">
        <v>244</v>
      </c>
      <c r="L43" s="52" t="s">
        <v>245</v>
      </c>
      <c r="M43" s="53" t="s">
        <v>98</v>
      </c>
      <c r="N43" s="53" t="s">
        <v>137</v>
      </c>
      <c r="O43" s="54" t="s">
        <v>132</v>
      </c>
      <c r="P43" s="55" t="s">
        <v>246</v>
      </c>
    </row>
    <row r="44" spans="1:16" ht="12.75" customHeight="1" thickBot="1" x14ac:dyDescent="0.25">
      <c r="A44" s="43" t="str">
        <f t="shared" si="6"/>
        <v>IBVS 5992 </v>
      </c>
      <c r="B44" s="22" t="str">
        <f t="shared" si="7"/>
        <v>I</v>
      </c>
      <c r="C44" s="43">
        <f t="shared" si="8"/>
        <v>55616.833700000003</v>
      </c>
      <c r="D44" s="20" t="str">
        <f t="shared" si="9"/>
        <v>vis</v>
      </c>
      <c r="E44" s="51">
        <f>VLOOKUP(C44,Active!C$21:E$973,3,FALSE)</f>
        <v>15082.008214670434</v>
      </c>
      <c r="F44" s="22" t="s">
        <v>74</v>
      </c>
      <c r="G44" s="20" t="str">
        <f t="shared" si="10"/>
        <v>55616.8337</v>
      </c>
      <c r="H44" s="43">
        <f t="shared" si="11"/>
        <v>9223</v>
      </c>
      <c r="I44" s="52" t="s">
        <v>247</v>
      </c>
      <c r="J44" s="53" t="s">
        <v>248</v>
      </c>
      <c r="K44" s="52" t="s">
        <v>249</v>
      </c>
      <c r="L44" s="52" t="s">
        <v>250</v>
      </c>
      <c r="M44" s="53" t="s">
        <v>98</v>
      </c>
      <c r="N44" s="53" t="s">
        <v>74</v>
      </c>
      <c r="O44" s="54" t="s">
        <v>196</v>
      </c>
      <c r="P44" s="55" t="s">
        <v>251</v>
      </c>
    </row>
    <row r="45" spans="1:16" ht="12.75" customHeight="1" thickBot="1" x14ac:dyDescent="0.25">
      <c r="A45" s="43" t="str">
        <f t="shared" si="6"/>
        <v>BAVM 220 </v>
      </c>
      <c r="B45" s="22" t="str">
        <f t="shared" si="7"/>
        <v>I</v>
      </c>
      <c r="C45" s="43">
        <f t="shared" si="8"/>
        <v>55646.5743</v>
      </c>
      <c r="D45" s="20" t="str">
        <f t="shared" si="9"/>
        <v>vis</v>
      </c>
      <c r="E45" s="51">
        <f>VLOOKUP(C45,Active!C$21:E$973,3,FALSE)</f>
        <v>15258.023507687947</v>
      </c>
      <c r="F45" s="22" t="s">
        <v>74</v>
      </c>
      <c r="G45" s="20" t="str">
        <f t="shared" si="10"/>
        <v>55646.5743</v>
      </c>
      <c r="H45" s="43">
        <f t="shared" si="11"/>
        <v>9311</v>
      </c>
      <c r="I45" s="52" t="s">
        <v>252</v>
      </c>
      <c r="J45" s="53" t="s">
        <v>253</v>
      </c>
      <c r="K45" s="52" t="s">
        <v>254</v>
      </c>
      <c r="L45" s="52" t="s">
        <v>255</v>
      </c>
      <c r="M45" s="53" t="s">
        <v>98</v>
      </c>
      <c r="N45" s="53" t="s">
        <v>99</v>
      </c>
      <c r="O45" s="54" t="s">
        <v>256</v>
      </c>
      <c r="P45" s="55" t="s">
        <v>257</v>
      </c>
    </row>
    <row r="46" spans="1:16" ht="12.75" customHeight="1" thickBot="1" x14ac:dyDescent="0.25">
      <c r="A46" s="43" t="str">
        <f t="shared" si="6"/>
        <v>IBVS 6018 </v>
      </c>
      <c r="B46" s="22" t="str">
        <f t="shared" si="7"/>
        <v>II</v>
      </c>
      <c r="C46" s="43">
        <f t="shared" si="8"/>
        <v>55646.7451</v>
      </c>
      <c r="D46" s="20" t="str">
        <f t="shared" si="9"/>
        <v>vis</v>
      </c>
      <c r="E46" s="51">
        <f>VLOOKUP(C46,Active!C$21:E$973,3,FALSE)</f>
        <v>15259.034361942649</v>
      </c>
      <c r="F46" s="22" t="s">
        <v>74</v>
      </c>
      <c r="G46" s="20" t="str">
        <f t="shared" si="10"/>
        <v>55646.7451</v>
      </c>
      <c r="H46" s="43">
        <f t="shared" si="11"/>
        <v>9311.5</v>
      </c>
      <c r="I46" s="52" t="s">
        <v>258</v>
      </c>
      <c r="J46" s="53" t="s">
        <v>259</v>
      </c>
      <c r="K46" s="52" t="s">
        <v>260</v>
      </c>
      <c r="L46" s="52" t="s">
        <v>261</v>
      </c>
      <c r="M46" s="53" t="s">
        <v>98</v>
      </c>
      <c r="N46" s="53" t="s">
        <v>66</v>
      </c>
      <c r="O46" s="54" t="s">
        <v>201</v>
      </c>
      <c r="P46" s="55" t="s">
        <v>262</v>
      </c>
    </row>
    <row r="47" spans="1:16" ht="12.75" customHeight="1" thickBot="1" x14ac:dyDescent="0.25">
      <c r="A47" s="43" t="str">
        <f t="shared" si="6"/>
        <v>BAVM 220 </v>
      </c>
      <c r="B47" s="22" t="str">
        <f t="shared" si="7"/>
        <v>I</v>
      </c>
      <c r="C47" s="43">
        <f t="shared" si="8"/>
        <v>55662.459699999999</v>
      </c>
      <c r="D47" s="20" t="str">
        <f t="shared" si="9"/>
        <v>vis</v>
      </c>
      <c r="E47" s="51">
        <f>VLOOKUP(C47,Active!C$21:E$973,3,FALSE)</f>
        <v>15352.038871725677</v>
      </c>
      <c r="F47" s="22" t="s">
        <v>74</v>
      </c>
      <c r="G47" s="20" t="str">
        <f t="shared" si="10"/>
        <v>55662.4597</v>
      </c>
      <c r="H47" s="43">
        <f t="shared" si="11"/>
        <v>9358</v>
      </c>
      <c r="I47" s="52" t="s">
        <v>263</v>
      </c>
      <c r="J47" s="53" t="s">
        <v>264</v>
      </c>
      <c r="K47" s="52" t="s">
        <v>265</v>
      </c>
      <c r="L47" s="52" t="s">
        <v>266</v>
      </c>
      <c r="M47" s="53" t="s">
        <v>98</v>
      </c>
      <c r="N47" s="53" t="s">
        <v>137</v>
      </c>
      <c r="O47" s="54" t="s">
        <v>132</v>
      </c>
      <c r="P47" s="55" t="s">
        <v>257</v>
      </c>
    </row>
    <row r="48" spans="1:16" ht="12.75" customHeight="1" thickBot="1" x14ac:dyDescent="0.25">
      <c r="A48" s="43" t="str">
        <f t="shared" si="6"/>
        <v>BAVM 220 </v>
      </c>
      <c r="B48" s="22" t="str">
        <f t="shared" si="7"/>
        <v>II</v>
      </c>
      <c r="C48" s="43">
        <f t="shared" si="8"/>
        <v>55669.385000000002</v>
      </c>
      <c r="D48" s="20" t="str">
        <f t="shared" si="9"/>
        <v>vis</v>
      </c>
      <c r="E48" s="51">
        <f>VLOOKUP(C48,Active!C$21:E$973,3,FALSE)</f>
        <v>15393.025224009585</v>
      </c>
      <c r="F48" s="22" t="s">
        <v>74</v>
      </c>
      <c r="G48" s="20" t="str">
        <f t="shared" si="10"/>
        <v>55669.3850</v>
      </c>
      <c r="H48" s="43">
        <f t="shared" si="11"/>
        <v>9378.5</v>
      </c>
      <c r="I48" s="52" t="s">
        <v>267</v>
      </c>
      <c r="J48" s="53" t="s">
        <v>268</v>
      </c>
      <c r="K48" s="52" t="s">
        <v>269</v>
      </c>
      <c r="L48" s="52" t="s">
        <v>270</v>
      </c>
      <c r="M48" s="53" t="s">
        <v>98</v>
      </c>
      <c r="N48" s="53" t="s">
        <v>99</v>
      </c>
      <c r="O48" s="54" t="s">
        <v>256</v>
      </c>
      <c r="P48" s="55" t="s">
        <v>257</v>
      </c>
    </row>
    <row r="49" spans="1:16" ht="12.75" customHeight="1" thickBot="1" x14ac:dyDescent="0.25">
      <c r="A49" s="43" t="str">
        <f t="shared" si="6"/>
        <v>BAVM 220 </v>
      </c>
      <c r="B49" s="22" t="str">
        <f t="shared" si="7"/>
        <v>I</v>
      </c>
      <c r="C49" s="43">
        <f t="shared" si="8"/>
        <v>55669.557999999997</v>
      </c>
      <c r="D49" s="20" t="str">
        <f t="shared" si="9"/>
        <v>vis</v>
      </c>
      <c r="E49" s="51">
        <f>VLOOKUP(C49,Active!C$21:E$973,3,FALSE)</f>
        <v>15394.049098635222</v>
      </c>
      <c r="F49" s="22" t="s">
        <v>74</v>
      </c>
      <c r="G49" s="20" t="str">
        <f t="shared" si="10"/>
        <v>55669.5580</v>
      </c>
      <c r="H49" s="43">
        <f t="shared" si="11"/>
        <v>9379</v>
      </c>
      <c r="I49" s="52" t="s">
        <v>271</v>
      </c>
      <c r="J49" s="53" t="s">
        <v>272</v>
      </c>
      <c r="K49" s="52" t="s">
        <v>273</v>
      </c>
      <c r="L49" s="52" t="s">
        <v>274</v>
      </c>
      <c r="M49" s="53" t="s">
        <v>98</v>
      </c>
      <c r="N49" s="53" t="s">
        <v>99</v>
      </c>
      <c r="O49" s="54" t="s">
        <v>256</v>
      </c>
      <c r="P49" s="55" t="s">
        <v>257</v>
      </c>
    </row>
    <row r="50" spans="1:16" ht="12.75" customHeight="1" thickBot="1" x14ac:dyDescent="0.25">
      <c r="A50" s="43" t="str">
        <f t="shared" si="6"/>
        <v>BAVM 220 </v>
      </c>
      <c r="B50" s="22" t="str">
        <f t="shared" si="7"/>
        <v>II</v>
      </c>
      <c r="C50" s="43">
        <f t="shared" si="8"/>
        <v>55675.472800000003</v>
      </c>
      <c r="D50" s="20" t="str">
        <f t="shared" si="9"/>
        <v>vis</v>
      </c>
      <c r="E50" s="51">
        <f>VLOOKUP(C50,Active!C$21:E$973,3,FALSE)</f>
        <v>15429.054957802189</v>
      </c>
      <c r="F50" s="22" t="s">
        <v>74</v>
      </c>
      <c r="G50" s="20" t="str">
        <f t="shared" si="10"/>
        <v>55675.4728</v>
      </c>
      <c r="H50" s="43">
        <f t="shared" si="11"/>
        <v>9396.5</v>
      </c>
      <c r="I50" s="52" t="s">
        <v>275</v>
      </c>
      <c r="J50" s="53" t="s">
        <v>276</v>
      </c>
      <c r="K50" s="52" t="s">
        <v>277</v>
      </c>
      <c r="L50" s="52" t="s">
        <v>190</v>
      </c>
      <c r="M50" s="53" t="s">
        <v>98</v>
      </c>
      <c r="N50" s="53" t="s">
        <v>137</v>
      </c>
      <c r="O50" s="54" t="s">
        <v>132</v>
      </c>
      <c r="P50" s="55" t="s">
        <v>257</v>
      </c>
    </row>
    <row r="51" spans="1:16" ht="12.75" customHeight="1" thickBot="1" x14ac:dyDescent="0.25">
      <c r="A51" s="43" t="str">
        <f t="shared" si="6"/>
        <v>IBVS 6029 </v>
      </c>
      <c r="B51" s="22" t="str">
        <f t="shared" si="7"/>
        <v>I</v>
      </c>
      <c r="C51" s="43">
        <f t="shared" si="8"/>
        <v>55984.844799999999</v>
      </c>
      <c r="D51" s="20" t="str">
        <f t="shared" si="9"/>
        <v>vis</v>
      </c>
      <c r="E51" s="51">
        <f>VLOOKUP(C51,Active!C$21:E$973,3,FALSE)</f>
        <v>17260.026869310987</v>
      </c>
      <c r="F51" s="22" t="s">
        <v>74</v>
      </c>
      <c r="G51" s="20" t="str">
        <f t="shared" si="10"/>
        <v>55984.8448</v>
      </c>
      <c r="H51" s="43">
        <f t="shared" si="11"/>
        <v>10312</v>
      </c>
      <c r="I51" s="52" t="s">
        <v>278</v>
      </c>
      <c r="J51" s="53" t="s">
        <v>279</v>
      </c>
      <c r="K51" s="52" t="s">
        <v>280</v>
      </c>
      <c r="L51" s="52" t="s">
        <v>281</v>
      </c>
      <c r="M51" s="53" t="s">
        <v>98</v>
      </c>
      <c r="N51" s="53" t="s">
        <v>74</v>
      </c>
      <c r="O51" s="54" t="s">
        <v>196</v>
      </c>
      <c r="P51" s="55" t="s">
        <v>282</v>
      </c>
    </row>
    <row r="52" spans="1:16" ht="12.75" customHeight="1" thickBot="1" x14ac:dyDescent="0.25">
      <c r="A52" s="43" t="str">
        <f t="shared" si="6"/>
        <v>IBVS 6029 </v>
      </c>
      <c r="B52" s="22" t="str">
        <f t="shared" si="7"/>
        <v>I</v>
      </c>
      <c r="C52" s="43">
        <f t="shared" si="8"/>
        <v>56047.701000000001</v>
      </c>
      <c r="D52" s="20" t="str">
        <f t="shared" si="9"/>
        <v>vis</v>
      </c>
      <c r="E52" s="51">
        <f>VLOOKUP(C52,Active!C$21:E$973,3,FALSE)</f>
        <v>17632.031888072172</v>
      </c>
      <c r="F52" s="22" t="s">
        <v>74</v>
      </c>
      <c r="G52" s="20" t="str">
        <f t="shared" si="10"/>
        <v>56047.7010</v>
      </c>
      <c r="H52" s="43">
        <f t="shared" si="11"/>
        <v>10498</v>
      </c>
      <c r="I52" s="52" t="s">
        <v>283</v>
      </c>
      <c r="J52" s="53" t="s">
        <v>284</v>
      </c>
      <c r="K52" s="52" t="s">
        <v>285</v>
      </c>
      <c r="L52" s="52" t="s">
        <v>286</v>
      </c>
      <c r="M52" s="53" t="s">
        <v>98</v>
      </c>
      <c r="N52" s="53" t="s">
        <v>74</v>
      </c>
      <c r="O52" s="54" t="s">
        <v>196</v>
      </c>
      <c r="P52" s="55" t="s">
        <v>282</v>
      </c>
    </row>
    <row r="53" spans="1:16" ht="12.75" customHeight="1" thickBot="1" x14ac:dyDescent="0.25">
      <c r="A53" s="43" t="str">
        <f t="shared" si="6"/>
        <v>BAVM 231 </v>
      </c>
      <c r="B53" s="22" t="str">
        <f t="shared" si="7"/>
        <v>II</v>
      </c>
      <c r="C53" s="43">
        <f t="shared" si="8"/>
        <v>56061.393499999998</v>
      </c>
      <c r="D53" s="20" t="str">
        <f t="shared" si="9"/>
        <v>vis</v>
      </c>
      <c r="E53" s="51">
        <f>VLOOKUP(C53,Active!C$21:E$973,3,FALSE)</f>
        <v>17713.068901435789</v>
      </c>
      <c r="F53" s="22" t="s">
        <v>74</v>
      </c>
      <c r="G53" s="20" t="str">
        <f t="shared" si="10"/>
        <v>56061.3935</v>
      </c>
      <c r="H53" s="43">
        <f t="shared" si="11"/>
        <v>10538.5</v>
      </c>
      <c r="I53" s="52" t="s">
        <v>287</v>
      </c>
      <c r="J53" s="53" t="s">
        <v>288</v>
      </c>
      <c r="K53" s="52" t="s">
        <v>289</v>
      </c>
      <c r="L53" s="52" t="s">
        <v>290</v>
      </c>
      <c r="M53" s="53" t="s">
        <v>98</v>
      </c>
      <c r="N53" s="53" t="s">
        <v>137</v>
      </c>
      <c r="O53" s="54" t="s">
        <v>132</v>
      </c>
      <c r="P53" s="55" t="s">
        <v>291</v>
      </c>
    </row>
    <row r="54" spans="1:16" ht="12.75" customHeight="1" thickBot="1" x14ac:dyDescent="0.25">
      <c r="A54" s="43" t="str">
        <f t="shared" si="6"/>
        <v> BBS 125 </v>
      </c>
      <c r="B54" s="22" t="str">
        <f t="shared" si="7"/>
        <v>II</v>
      </c>
      <c r="C54" s="43">
        <f t="shared" si="8"/>
        <v>51951.440900000001</v>
      </c>
      <c r="D54" s="20" t="str">
        <f t="shared" si="9"/>
        <v>vis</v>
      </c>
      <c r="E54" s="51">
        <f>VLOOKUP(C54,Active!C$21:E$973,3,FALSE)</f>
        <v>-6611.0708663281193</v>
      </c>
      <c r="F54" s="22" t="s">
        <v>74</v>
      </c>
      <c r="G54" s="20" t="str">
        <f t="shared" si="10"/>
        <v>51951.4409</v>
      </c>
      <c r="H54" s="43">
        <f t="shared" si="11"/>
        <v>-1623.5</v>
      </c>
      <c r="I54" s="52" t="s">
        <v>76</v>
      </c>
      <c r="J54" s="53" t="s">
        <v>77</v>
      </c>
      <c r="K54" s="52">
        <v>-1623.5</v>
      </c>
      <c r="L54" s="52" t="s">
        <v>78</v>
      </c>
      <c r="M54" s="53" t="s">
        <v>79</v>
      </c>
      <c r="N54" s="53" t="s">
        <v>80</v>
      </c>
      <c r="O54" s="54" t="s">
        <v>81</v>
      </c>
      <c r="P54" s="54" t="s">
        <v>82</v>
      </c>
    </row>
    <row r="55" spans="1:16" ht="12.75" customHeight="1" thickBot="1" x14ac:dyDescent="0.25">
      <c r="A55" s="43" t="str">
        <f t="shared" si="6"/>
        <v> BBS 125 </v>
      </c>
      <c r="B55" s="22" t="str">
        <f t="shared" si="7"/>
        <v>I</v>
      </c>
      <c r="C55" s="43">
        <f t="shared" si="8"/>
        <v>51951.613799999999</v>
      </c>
      <c r="D55" s="20" t="str">
        <f t="shared" si="9"/>
        <v>vis</v>
      </c>
      <c r="E55" s="51">
        <f>VLOOKUP(C55,Active!C$21:E$973,3,FALSE)</f>
        <v>-6610.0475835375119</v>
      </c>
      <c r="F55" s="22" t="s">
        <v>74</v>
      </c>
      <c r="G55" s="20" t="str">
        <f t="shared" si="10"/>
        <v>51951.6138</v>
      </c>
      <c r="H55" s="43">
        <f t="shared" si="11"/>
        <v>-1623</v>
      </c>
      <c r="I55" s="52" t="s">
        <v>83</v>
      </c>
      <c r="J55" s="53" t="s">
        <v>84</v>
      </c>
      <c r="K55" s="52">
        <v>-1623</v>
      </c>
      <c r="L55" s="52" t="s">
        <v>85</v>
      </c>
      <c r="M55" s="53" t="s">
        <v>79</v>
      </c>
      <c r="N55" s="53" t="s">
        <v>80</v>
      </c>
      <c r="O55" s="54" t="s">
        <v>81</v>
      </c>
      <c r="P55" s="54" t="s">
        <v>82</v>
      </c>
    </row>
    <row r="56" spans="1:16" ht="12.75" customHeight="1" thickBot="1" x14ac:dyDescent="0.25">
      <c r="A56" s="43" t="str">
        <f t="shared" si="6"/>
        <v> BBS 125 </v>
      </c>
      <c r="B56" s="22" t="str">
        <f t="shared" si="7"/>
        <v>I</v>
      </c>
      <c r="C56" s="43">
        <f t="shared" si="8"/>
        <v>51959.385000000002</v>
      </c>
      <c r="D56" s="20" t="str">
        <f t="shared" si="9"/>
        <v>vis</v>
      </c>
      <c r="E56" s="51">
        <f>VLOOKUP(C56,Active!C$21:E$973,3,FALSE)</f>
        <v>-6564.0548986186359</v>
      </c>
      <c r="F56" s="22" t="s">
        <v>74</v>
      </c>
      <c r="G56" s="20" t="str">
        <f t="shared" si="10"/>
        <v>51959.3850</v>
      </c>
      <c r="H56" s="43">
        <f t="shared" si="11"/>
        <v>-1600</v>
      </c>
      <c r="I56" s="52" t="s">
        <v>86</v>
      </c>
      <c r="J56" s="53" t="s">
        <v>87</v>
      </c>
      <c r="K56" s="52">
        <v>-1600</v>
      </c>
      <c r="L56" s="52" t="s">
        <v>88</v>
      </c>
      <c r="M56" s="53" t="s">
        <v>79</v>
      </c>
      <c r="N56" s="53" t="s">
        <v>80</v>
      </c>
      <c r="O56" s="54" t="s">
        <v>81</v>
      </c>
      <c r="P56" s="54" t="s">
        <v>82</v>
      </c>
    </row>
    <row r="57" spans="1:16" ht="12.75" customHeight="1" thickBot="1" x14ac:dyDescent="0.25">
      <c r="A57" s="43" t="str">
        <f t="shared" si="6"/>
        <v> BBS 125 </v>
      </c>
      <c r="B57" s="22" t="str">
        <f t="shared" si="7"/>
        <v>II</v>
      </c>
      <c r="C57" s="43">
        <f t="shared" si="8"/>
        <v>51967.328500000003</v>
      </c>
      <c r="D57" s="20" t="str">
        <f t="shared" si="9"/>
        <v>vis</v>
      </c>
      <c r="E57" s="51">
        <f>VLOOKUP(C57,Active!C$21:E$973,3,FALSE)</f>
        <v>-6517.0424819194104</v>
      </c>
      <c r="F57" s="22" t="s">
        <v>74</v>
      </c>
      <c r="G57" s="20" t="str">
        <f t="shared" si="10"/>
        <v>51967.3285</v>
      </c>
      <c r="H57" s="43">
        <f t="shared" si="11"/>
        <v>-1576.5</v>
      </c>
      <c r="I57" s="52" t="s">
        <v>89</v>
      </c>
      <c r="J57" s="53" t="s">
        <v>90</v>
      </c>
      <c r="K57" s="52">
        <v>-1576.5</v>
      </c>
      <c r="L57" s="52" t="s">
        <v>91</v>
      </c>
      <c r="M57" s="53" t="s">
        <v>79</v>
      </c>
      <c r="N57" s="53" t="s">
        <v>80</v>
      </c>
      <c r="O57" s="54" t="s">
        <v>81</v>
      </c>
      <c r="P57" s="54" t="s">
        <v>82</v>
      </c>
    </row>
    <row r="58" spans="1:16" ht="12.75" customHeight="1" thickBot="1" x14ac:dyDescent="0.25">
      <c r="A58" s="43" t="str">
        <f t="shared" si="6"/>
        <v> BBS 125 </v>
      </c>
      <c r="B58" s="22" t="str">
        <f t="shared" si="7"/>
        <v>I</v>
      </c>
      <c r="C58" s="43">
        <f t="shared" si="8"/>
        <v>51967.499300000003</v>
      </c>
      <c r="D58" s="20" t="str">
        <f t="shared" si="9"/>
        <v>vis</v>
      </c>
      <c r="E58" s="51">
        <f>VLOOKUP(C58,Active!C$21:E$973,3,FALSE)</f>
        <v>-6516.031627664709</v>
      </c>
      <c r="F58" s="22" t="s">
        <v>74</v>
      </c>
      <c r="G58" s="20" t="str">
        <f t="shared" si="10"/>
        <v>51967.4993</v>
      </c>
      <c r="H58" s="43">
        <f t="shared" si="11"/>
        <v>-1576</v>
      </c>
      <c r="I58" s="52" t="s">
        <v>92</v>
      </c>
      <c r="J58" s="53" t="s">
        <v>93</v>
      </c>
      <c r="K58" s="52">
        <v>-1576</v>
      </c>
      <c r="L58" s="52" t="s">
        <v>94</v>
      </c>
      <c r="M58" s="53" t="s">
        <v>79</v>
      </c>
      <c r="N58" s="53" t="s">
        <v>80</v>
      </c>
      <c r="O58" s="54" t="s">
        <v>81</v>
      </c>
      <c r="P58" s="54" t="s">
        <v>82</v>
      </c>
    </row>
    <row r="59" spans="1:16" ht="12.75" customHeight="1" thickBot="1" x14ac:dyDescent="0.25">
      <c r="A59" s="43" t="str">
        <f t="shared" si="6"/>
        <v> BBS 125 </v>
      </c>
      <c r="B59" s="22" t="str">
        <f t="shared" si="7"/>
        <v>II</v>
      </c>
      <c r="C59" s="43">
        <f t="shared" si="8"/>
        <v>51984.560899999997</v>
      </c>
      <c r="D59" s="20" t="str">
        <f t="shared" si="9"/>
        <v>vis</v>
      </c>
      <c r="E59" s="51">
        <f>VLOOKUP(C59,Active!C$21:E$973,3,FALSE)</f>
        <v>-6415.0550998425815</v>
      </c>
      <c r="F59" s="22" t="s">
        <v>74</v>
      </c>
      <c r="G59" s="20" t="str">
        <f t="shared" si="10"/>
        <v>51984.5609</v>
      </c>
      <c r="H59" s="43">
        <f t="shared" si="11"/>
        <v>-1525.5</v>
      </c>
      <c r="I59" s="52" t="s">
        <v>102</v>
      </c>
      <c r="J59" s="53" t="s">
        <v>103</v>
      </c>
      <c r="K59" s="52">
        <v>-1525.5</v>
      </c>
      <c r="L59" s="52" t="s">
        <v>104</v>
      </c>
      <c r="M59" s="53" t="s">
        <v>79</v>
      </c>
      <c r="N59" s="53" t="s">
        <v>80</v>
      </c>
      <c r="O59" s="54" t="s">
        <v>81</v>
      </c>
      <c r="P59" s="54" t="s">
        <v>82</v>
      </c>
    </row>
    <row r="60" spans="1:16" ht="12.75" customHeight="1" thickBot="1" x14ac:dyDescent="0.25">
      <c r="A60" s="43" t="str">
        <f t="shared" si="6"/>
        <v> BBS 128 </v>
      </c>
      <c r="B60" s="22" t="str">
        <f t="shared" si="7"/>
        <v>II</v>
      </c>
      <c r="C60" s="43">
        <f t="shared" si="8"/>
        <v>52363.386700000003</v>
      </c>
      <c r="D60" s="20" t="str">
        <f t="shared" si="9"/>
        <v>vis</v>
      </c>
      <c r="E60" s="51">
        <f>VLOOKUP(C60,Active!C$21:E$973,3,FALSE)</f>
        <v>-4173.0312607269843</v>
      </c>
      <c r="F60" s="22" t="s">
        <v>74</v>
      </c>
      <c r="G60" s="20" t="str">
        <f t="shared" si="10"/>
        <v>52363.3867</v>
      </c>
      <c r="H60" s="43">
        <f t="shared" si="11"/>
        <v>-404.5</v>
      </c>
      <c r="I60" s="52" t="s">
        <v>114</v>
      </c>
      <c r="J60" s="53" t="s">
        <v>115</v>
      </c>
      <c r="K60" s="52">
        <v>-404.5</v>
      </c>
      <c r="L60" s="52" t="s">
        <v>116</v>
      </c>
      <c r="M60" s="53" t="s">
        <v>79</v>
      </c>
      <c r="N60" s="53" t="s">
        <v>80</v>
      </c>
      <c r="O60" s="54" t="s">
        <v>81</v>
      </c>
      <c r="P60" s="54" t="s">
        <v>117</v>
      </c>
    </row>
    <row r="61" spans="1:16" ht="12.75" customHeight="1" thickBot="1" x14ac:dyDescent="0.25">
      <c r="A61" s="43" t="str">
        <f t="shared" si="6"/>
        <v>VSB 45 </v>
      </c>
      <c r="B61" s="22" t="str">
        <f t="shared" si="7"/>
        <v>II</v>
      </c>
      <c r="C61" s="43">
        <f t="shared" si="8"/>
        <v>54097.3217</v>
      </c>
      <c r="D61" s="20" t="str">
        <f t="shared" si="9"/>
        <v>vis</v>
      </c>
      <c r="E61" s="51">
        <f>VLOOKUP(C61,Active!C$21:E$973,3,FALSE)</f>
        <v>6089.0037048873855</v>
      </c>
      <c r="F61" s="22" t="s">
        <v>74</v>
      </c>
      <c r="G61" s="20" t="str">
        <f t="shared" si="10"/>
        <v>54097.3217</v>
      </c>
      <c r="H61" s="43">
        <f t="shared" si="11"/>
        <v>4726.5</v>
      </c>
      <c r="I61" s="52" t="s">
        <v>172</v>
      </c>
      <c r="J61" s="53" t="s">
        <v>173</v>
      </c>
      <c r="K61" s="52" t="s">
        <v>174</v>
      </c>
      <c r="L61" s="52" t="s">
        <v>175</v>
      </c>
      <c r="M61" s="53" t="s">
        <v>79</v>
      </c>
      <c r="N61" s="53" t="s">
        <v>80</v>
      </c>
      <c r="O61" s="54" t="s">
        <v>176</v>
      </c>
      <c r="P61" s="55" t="s">
        <v>177</v>
      </c>
    </row>
    <row r="62" spans="1:16" x14ac:dyDescent="0.2">
      <c r="B62" s="22"/>
      <c r="F62" s="22"/>
    </row>
    <row r="63" spans="1:16" x14ac:dyDescent="0.2">
      <c r="B63" s="22"/>
      <c r="F63" s="22"/>
    </row>
    <row r="64" spans="1:1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</sheetData>
  <phoneticPr fontId="7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var.astro.cz/oejv/issues/oejv0074.pdf"/>
    <hyperlink ref="P14" r:id="rId4" display="http://var.astro.cz/oejv/issues/oejv0074.pdf"/>
    <hyperlink ref="P20" r:id="rId5" display="http://www.bav-astro.de/sfs/BAVM_link.php?BAVMnr=172"/>
    <hyperlink ref="P21" r:id="rId6" display="http://www.bav-astro.de/sfs/BAVM_link.php?BAVMnr=173"/>
    <hyperlink ref="P22" r:id="rId7" display="http://www.bav-astro.de/sfs/BAVM_link.php?BAVMnr=173"/>
    <hyperlink ref="P23" r:id="rId8" display="http://www.konkoly.hu/cgi-bin/IBVS?5653"/>
    <hyperlink ref="P24" r:id="rId9" display="http://www.bav-astro.de/sfs/BAVM_link.php?BAVMnr=173"/>
    <hyperlink ref="P25" r:id="rId10" display="http://www.konkoly.hu/cgi-bin/IBVS?5713"/>
    <hyperlink ref="P26" r:id="rId11" display="http://www.konkoly.hu/cgi-bin/IBVS?5814"/>
    <hyperlink ref="P27" r:id="rId12" display="http://www.bav-astro.de/sfs/BAVM_link.php?BAVMnr=178"/>
    <hyperlink ref="P28" r:id="rId13" display="http://www.bav-astro.de/sfs/BAVM_link.php?BAVMnr=178"/>
    <hyperlink ref="P61" r:id="rId14" display="http://vsolj.cetus-net.org/no45.pdf"/>
    <hyperlink ref="P29" r:id="rId15" display="http://www.konkoly.hu/cgi-bin/IBVS?5814"/>
    <hyperlink ref="P31" r:id="rId16" display="http://www.bav-astro.de/sfs/BAVM_link.php?BAVMnr=186"/>
    <hyperlink ref="P33" r:id="rId17" display="http://www.konkoly.hu/cgi-bin/IBVS?5875"/>
    <hyperlink ref="P34" r:id="rId18" display="http://www.konkoly.hu/cgi-bin/IBVS?5837"/>
    <hyperlink ref="P35" r:id="rId19" display="http://www.konkoly.hu/cgi-bin/IBVS?5894"/>
    <hyperlink ref="P36" r:id="rId20" display="http://www.bav-astro.de/sfs/BAVM_link.php?BAVMnr=209"/>
    <hyperlink ref="P37" r:id="rId21" display="http://www.bav-astro.de/sfs/BAVM_link.php?BAVMnr=209"/>
    <hyperlink ref="P38" r:id="rId22" display="http://www.bav-astro.de/sfs/BAVM_link.php?BAVMnr=209"/>
    <hyperlink ref="P39" r:id="rId23" display="http://www.bav-astro.de/sfs/BAVM_link.php?BAVMnr=209"/>
    <hyperlink ref="P40" r:id="rId24" display="http://www.konkoly.hu/cgi-bin/IBVS?5894"/>
    <hyperlink ref="P41" r:id="rId25" display="http://www.konkoly.hu/cgi-bin/IBVS?5894"/>
    <hyperlink ref="P42" r:id="rId26" display="http://www.konkoly.hu/cgi-bin/IBVS?5945"/>
    <hyperlink ref="P43" r:id="rId27" display="http://www.bav-astro.de/sfs/BAVM_link.php?BAVMnr=214"/>
    <hyperlink ref="P44" r:id="rId28" display="http://www.konkoly.hu/cgi-bin/IBVS?5992"/>
    <hyperlink ref="P45" r:id="rId29" display="http://www.bav-astro.de/sfs/BAVM_link.php?BAVMnr=220"/>
    <hyperlink ref="P46" r:id="rId30" display="http://www.konkoly.hu/cgi-bin/IBVS?6018"/>
    <hyperlink ref="P47" r:id="rId31" display="http://www.bav-astro.de/sfs/BAVM_link.php?BAVMnr=220"/>
    <hyperlink ref="P48" r:id="rId32" display="http://www.bav-astro.de/sfs/BAVM_link.php?BAVMnr=220"/>
    <hyperlink ref="P49" r:id="rId33" display="http://www.bav-astro.de/sfs/BAVM_link.php?BAVMnr=220"/>
    <hyperlink ref="P50" r:id="rId34" display="http://www.bav-astro.de/sfs/BAVM_link.php?BAVMnr=220"/>
    <hyperlink ref="P51" r:id="rId35" display="http://www.konkoly.hu/cgi-bin/IBVS?6029"/>
    <hyperlink ref="P52" r:id="rId36" display="http://www.konkoly.hu/cgi-bin/IBVS?6029"/>
    <hyperlink ref="P53" r:id="rId37" display="http://www.bav-astro.de/sfs/BAVM_link.php?BAVMnr=231"/>
    <hyperlink ref="P18" r:id="rId38" display="http://www.bav-astro.de/sfs/BAVM_link.php?BAVMnr=241"/>
    <hyperlink ref="P19" r:id="rId3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2024-01-30T02:27:15Z</dcterms:modified>
</cp:coreProperties>
</file>