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838D70-56FF-45E3-A9FE-DDB8027F3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3" l="1"/>
  <c r="F4" i="1"/>
  <c r="E21" i="3"/>
  <c r="F21" i="3" s="1"/>
  <c r="Q21" i="3"/>
  <c r="C21" i="3"/>
  <c r="A21" i="3"/>
  <c r="Q62" i="3"/>
  <c r="E62" i="3"/>
  <c r="F62" i="3" s="1"/>
  <c r="G62" i="3" s="1"/>
  <c r="K62" i="3" s="1"/>
  <c r="Q61" i="3"/>
  <c r="E61" i="3"/>
  <c r="F61" i="3" s="1"/>
  <c r="G61" i="3" s="1"/>
  <c r="K61" i="3" s="1"/>
  <c r="Q60" i="3"/>
  <c r="E60" i="3"/>
  <c r="F60" i="3" s="1"/>
  <c r="G60" i="3" s="1"/>
  <c r="K60" i="3" s="1"/>
  <c r="Q59" i="3"/>
  <c r="E59" i="3"/>
  <c r="F59" i="3" s="1"/>
  <c r="Q58" i="3"/>
  <c r="E58" i="3"/>
  <c r="F58" i="3" s="1"/>
  <c r="Q57" i="3"/>
  <c r="E57" i="3"/>
  <c r="F57" i="3" s="1"/>
  <c r="G57" i="3" s="1"/>
  <c r="K57" i="3" s="1"/>
  <c r="Q56" i="3"/>
  <c r="E56" i="3"/>
  <c r="F56" i="3" s="1"/>
  <c r="G56" i="3" s="1"/>
  <c r="K56" i="3" s="1"/>
  <c r="Q55" i="3"/>
  <c r="E55" i="3"/>
  <c r="F55" i="3" s="1"/>
  <c r="G55" i="3" s="1"/>
  <c r="K55" i="3" s="1"/>
  <c r="Q54" i="3"/>
  <c r="E54" i="3"/>
  <c r="F54" i="3" s="1"/>
  <c r="G54" i="3" s="1"/>
  <c r="K54" i="3" s="1"/>
  <c r="Q53" i="3"/>
  <c r="F53" i="3"/>
  <c r="G53" i="3" s="1"/>
  <c r="K53" i="3" s="1"/>
  <c r="E53" i="3"/>
  <c r="Q52" i="3"/>
  <c r="E52" i="3"/>
  <c r="F52" i="3" s="1"/>
  <c r="G52" i="3" s="1"/>
  <c r="K52" i="3" s="1"/>
  <c r="Q51" i="3"/>
  <c r="E51" i="3"/>
  <c r="F51" i="3" s="1"/>
  <c r="Q50" i="3"/>
  <c r="E50" i="3"/>
  <c r="F50" i="3" s="1"/>
  <c r="Q49" i="3"/>
  <c r="E49" i="3"/>
  <c r="F49" i="3" s="1"/>
  <c r="G49" i="3" s="1"/>
  <c r="K49" i="3" s="1"/>
  <c r="Q48" i="3"/>
  <c r="E48" i="3"/>
  <c r="F48" i="3" s="1"/>
  <c r="G48" i="3" s="1"/>
  <c r="K48" i="3" s="1"/>
  <c r="Q47" i="3"/>
  <c r="E47" i="3"/>
  <c r="F47" i="3" s="1"/>
  <c r="G47" i="3" s="1"/>
  <c r="K47" i="3" s="1"/>
  <c r="Q46" i="3"/>
  <c r="E46" i="3"/>
  <c r="F46" i="3" s="1"/>
  <c r="G46" i="3" s="1"/>
  <c r="J46" i="3" s="1"/>
  <c r="Q45" i="3"/>
  <c r="E45" i="3"/>
  <c r="F45" i="3" s="1"/>
  <c r="G45" i="3" s="1"/>
  <c r="K45" i="3" s="1"/>
  <c r="Q44" i="3"/>
  <c r="E44" i="3"/>
  <c r="F44" i="3" s="1"/>
  <c r="G44" i="3" s="1"/>
  <c r="K44" i="3" s="1"/>
  <c r="Q43" i="3"/>
  <c r="E43" i="3"/>
  <c r="F43" i="3" s="1"/>
  <c r="G43" i="3" s="1"/>
  <c r="K43" i="3" s="1"/>
  <c r="Q42" i="3"/>
  <c r="E42" i="3"/>
  <c r="F42" i="3" s="1"/>
  <c r="G42" i="3" s="1"/>
  <c r="K42" i="3" s="1"/>
  <c r="Q41" i="3"/>
  <c r="E41" i="3"/>
  <c r="F41" i="3" s="1"/>
  <c r="G41" i="3" s="1"/>
  <c r="K41" i="3" s="1"/>
  <c r="Q40" i="3"/>
  <c r="E40" i="3"/>
  <c r="F40" i="3" s="1"/>
  <c r="G40" i="3" s="1"/>
  <c r="K40" i="3" s="1"/>
  <c r="Q39" i="3"/>
  <c r="E39" i="3"/>
  <c r="F39" i="3" s="1"/>
  <c r="G39" i="3" s="1"/>
  <c r="K39" i="3" s="1"/>
  <c r="Q38" i="3"/>
  <c r="E38" i="3"/>
  <c r="F38" i="3" s="1"/>
  <c r="G38" i="3" s="1"/>
  <c r="K38" i="3" s="1"/>
  <c r="Q37" i="3"/>
  <c r="E37" i="3"/>
  <c r="F37" i="3" s="1"/>
  <c r="G37" i="3" s="1"/>
  <c r="K37" i="3" s="1"/>
  <c r="Q36" i="3"/>
  <c r="E36" i="3"/>
  <c r="F36" i="3" s="1"/>
  <c r="G36" i="3" s="1"/>
  <c r="K36" i="3" s="1"/>
  <c r="Q35" i="3"/>
  <c r="E35" i="3"/>
  <c r="F35" i="3" s="1"/>
  <c r="G35" i="3" s="1"/>
  <c r="K35" i="3" s="1"/>
  <c r="Q34" i="3"/>
  <c r="E34" i="3"/>
  <c r="F34" i="3" s="1"/>
  <c r="G34" i="3" s="1"/>
  <c r="K34" i="3" s="1"/>
  <c r="Q33" i="3"/>
  <c r="E33" i="3"/>
  <c r="F33" i="3" s="1"/>
  <c r="G33" i="3" s="1"/>
  <c r="K33" i="3" s="1"/>
  <c r="Q32" i="3"/>
  <c r="E32" i="3"/>
  <c r="F32" i="3" s="1"/>
  <c r="G32" i="3" s="1"/>
  <c r="K32" i="3" s="1"/>
  <c r="Q31" i="3"/>
  <c r="E31" i="3"/>
  <c r="F31" i="3" s="1"/>
  <c r="G31" i="3" s="1"/>
  <c r="K31" i="3" s="1"/>
  <c r="Q30" i="3"/>
  <c r="E30" i="3"/>
  <c r="F30" i="3" s="1"/>
  <c r="G30" i="3" s="1"/>
  <c r="K30" i="3" s="1"/>
  <c r="Q29" i="3"/>
  <c r="E29" i="3"/>
  <c r="F29" i="3" s="1"/>
  <c r="G29" i="3" s="1"/>
  <c r="K29" i="3" s="1"/>
  <c r="Q28" i="3"/>
  <c r="E28" i="3"/>
  <c r="F28" i="3" s="1"/>
  <c r="G28" i="3" s="1"/>
  <c r="K28" i="3" s="1"/>
  <c r="Q27" i="3"/>
  <c r="E27" i="3"/>
  <c r="F27" i="3" s="1"/>
  <c r="G27" i="3" s="1"/>
  <c r="I27" i="3" s="1"/>
  <c r="Q26" i="3"/>
  <c r="E26" i="3"/>
  <c r="F26" i="3" s="1"/>
  <c r="G26" i="3" s="1"/>
  <c r="K26" i="3" s="1"/>
  <c r="Q25" i="3"/>
  <c r="E25" i="3"/>
  <c r="F25" i="3" s="1"/>
  <c r="G25" i="3" s="1"/>
  <c r="K25" i="3" s="1"/>
  <c r="Q24" i="3"/>
  <c r="E24" i="3"/>
  <c r="F24" i="3" s="1"/>
  <c r="G24" i="3" s="1"/>
  <c r="K24" i="3" s="1"/>
  <c r="Q23" i="3"/>
  <c r="E23" i="3"/>
  <c r="F23" i="3" s="1"/>
  <c r="G23" i="3" s="1"/>
  <c r="K23" i="3" s="1"/>
  <c r="Q22" i="3"/>
  <c r="E22" i="3"/>
  <c r="F22" i="3" s="1"/>
  <c r="G22" i="3" s="1"/>
  <c r="K22" i="3" s="1"/>
  <c r="C17" i="3"/>
  <c r="D13" i="3"/>
  <c r="D12" i="3"/>
  <c r="D11" i="3"/>
  <c r="W13" i="3" s="1"/>
  <c r="E9" i="3"/>
  <c r="D9" i="3"/>
  <c r="Q57" i="1"/>
  <c r="Q61" i="1"/>
  <c r="Q60" i="1"/>
  <c r="Q58" i="1"/>
  <c r="Q59" i="1"/>
  <c r="Q55" i="1"/>
  <c r="D11" i="1"/>
  <c r="D12" i="1"/>
  <c r="Q56" i="1"/>
  <c r="Q54" i="1"/>
  <c r="Q53" i="1"/>
  <c r="Q51" i="1"/>
  <c r="D13" i="1"/>
  <c r="Q52" i="1"/>
  <c r="E57" i="1"/>
  <c r="F57" i="1" s="1"/>
  <c r="Q41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42" i="1"/>
  <c r="F42" i="1" s="1"/>
  <c r="G42" i="1" s="1"/>
  <c r="K42" i="1" s="1"/>
  <c r="G38" i="2"/>
  <c r="C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2" i="2"/>
  <c r="C12" i="2"/>
  <c r="E26" i="1"/>
  <c r="E12" i="2" s="1"/>
  <c r="G23" i="2"/>
  <c r="C23" i="2"/>
  <c r="E23" i="2"/>
  <c r="G22" i="2"/>
  <c r="C22" i="2"/>
  <c r="E22" i="2"/>
  <c r="G21" i="2"/>
  <c r="C21" i="2"/>
  <c r="E21" i="2"/>
  <c r="G11" i="2"/>
  <c r="C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12" i="2"/>
  <c r="D12" i="2"/>
  <c r="B12" i="2"/>
  <c r="A12" i="2"/>
  <c r="H23" i="2"/>
  <c r="D23" i="2"/>
  <c r="B23" i="2"/>
  <c r="A23" i="2"/>
  <c r="H22" i="2"/>
  <c r="D22" i="2"/>
  <c r="B22" i="2"/>
  <c r="A22" i="2"/>
  <c r="H21" i="2"/>
  <c r="D21" i="2"/>
  <c r="B21" i="2"/>
  <c r="A21" i="2"/>
  <c r="H11" i="2"/>
  <c r="D11" i="2"/>
  <c r="B11" i="2"/>
  <c r="A11" i="2"/>
  <c r="Q49" i="1"/>
  <c r="E9" i="1"/>
  <c r="D9" i="1"/>
  <c r="E38" i="1"/>
  <c r="F38" i="1" s="1"/>
  <c r="G38" i="1" s="1"/>
  <c r="K38" i="1" s="1"/>
  <c r="E24" i="1"/>
  <c r="F24" i="1" s="1"/>
  <c r="G24" i="1" s="1"/>
  <c r="K24" i="1" s="1"/>
  <c r="E25" i="1"/>
  <c r="F25" i="1" s="1"/>
  <c r="G25" i="1" s="1"/>
  <c r="K25" i="1" s="1"/>
  <c r="E32" i="1"/>
  <c r="F32" i="1" s="1"/>
  <c r="G32" i="1" s="1"/>
  <c r="K32" i="1" s="1"/>
  <c r="E35" i="1"/>
  <c r="F35" i="1" s="1"/>
  <c r="G35" i="1" s="1"/>
  <c r="K35" i="1" s="1"/>
  <c r="E37" i="1"/>
  <c r="F37" i="1" s="1"/>
  <c r="G37" i="1" s="1"/>
  <c r="K37" i="1" s="1"/>
  <c r="Q21" i="1"/>
  <c r="Q50" i="1"/>
  <c r="Q48" i="1"/>
  <c r="Q46" i="1"/>
  <c r="Q47" i="1"/>
  <c r="Q45" i="1"/>
  <c r="Q44" i="1"/>
  <c r="C17" i="1"/>
  <c r="Q26" i="1"/>
  <c r="Q42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3" i="1"/>
  <c r="E54" i="1"/>
  <c r="F54" i="1" s="1"/>
  <c r="G54" i="1" s="1"/>
  <c r="K54" i="1" s="1"/>
  <c r="E51" i="1"/>
  <c r="F51" i="1" s="1"/>
  <c r="G51" i="1" s="1"/>
  <c r="K51" i="1" s="1"/>
  <c r="E53" i="1"/>
  <c r="F53" i="1" s="1"/>
  <c r="G53" i="1" s="1"/>
  <c r="K53" i="1" s="1"/>
  <c r="E50" i="1"/>
  <c r="F50" i="1" s="1"/>
  <c r="G50" i="1" s="1"/>
  <c r="K50" i="1" s="1"/>
  <c r="F5" i="3" l="1"/>
  <c r="F5" i="1"/>
  <c r="W9" i="3"/>
  <c r="W18" i="3"/>
  <c r="W10" i="3"/>
  <c r="W3" i="3"/>
  <c r="W4" i="3"/>
  <c r="P57" i="3"/>
  <c r="R57" i="3" s="1"/>
  <c r="T57" i="3" s="1"/>
  <c r="G21" i="3"/>
  <c r="K21" i="3" s="1"/>
  <c r="P21" i="3"/>
  <c r="G50" i="3"/>
  <c r="K50" i="3" s="1"/>
  <c r="P50" i="3"/>
  <c r="G58" i="3"/>
  <c r="K58" i="3" s="1"/>
  <c r="P58" i="3"/>
  <c r="D16" i="3"/>
  <c r="D19" i="3" s="1"/>
  <c r="G59" i="3"/>
  <c r="K59" i="3" s="1"/>
  <c r="P59" i="3"/>
  <c r="R59" i="3" s="1"/>
  <c r="T59" i="3" s="1"/>
  <c r="G51" i="3"/>
  <c r="P51" i="3"/>
  <c r="P24" i="3"/>
  <c r="R24" i="3" s="1"/>
  <c r="T24" i="3" s="1"/>
  <c r="P27" i="3"/>
  <c r="R27" i="3" s="1"/>
  <c r="T27" i="3" s="1"/>
  <c r="P30" i="3"/>
  <c r="R30" i="3" s="1"/>
  <c r="T30" i="3" s="1"/>
  <c r="P32" i="3"/>
  <c r="R32" i="3" s="1"/>
  <c r="T32" i="3" s="1"/>
  <c r="P35" i="3"/>
  <c r="R35" i="3" s="1"/>
  <c r="T35" i="3" s="1"/>
  <c r="P38" i="3"/>
  <c r="R38" i="3" s="1"/>
  <c r="T38" i="3" s="1"/>
  <c r="P40" i="3"/>
  <c r="R40" i="3" s="1"/>
  <c r="T40" i="3" s="1"/>
  <c r="P43" i="3"/>
  <c r="R43" i="3" s="1"/>
  <c r="T43" i="3" s="1"/>
  <c r="P52" i="3"/>
  <c r="R52" i="3" s="1"/>
  <c r="T52" i="3" s="1"/>
  <c r="W7" i="3"/>
  <c r="W11" i="3"/>
  <c r="P45" i="3"/>
  <c r="R45" i="3" s="1"/>
  <c r="T45" i="3" s="1"/>
  <c r="P53" i="3"/>
  <c r="R53" i="3" s="1"/>
  <c r="T53" i="3" s="1"/>
  <c r="P61" i="3"/>
  <c r="R61" i="3" s="1"/>
  <c r="T61" i="3" s="1"/>
  <c r="W6" i="3"/>
  <c r="W14" i="3"/>
  <c r="P23" i="3"/>
  <c r="R23" i="3" s="1"/>
  <c r="T23" i="3" s="1"/>
  <c r="P26" i="3"/>
  <c r="R26" i="3" s="1"/>
  <c r="T26" i="3" s="1"/>
  <c r="P29" i="3"/>
  <c r="R29" i="3" s="1"/>
  <c r="T29" i="3" s="1"/>
  <c r="P31" i="3"/>
  <c r="R31" i="3" s="1"/>
  <c r="T31" i="3" s="1"/>
  <c r="P34" i="3"/>
  <c r="R34" i="3" s="1"/>
  <c r="T34" i="3" s="1"/>
  <c r="P36" i="3"/>
  <c r="R36" i="3" s="1"/>
  <c r="T36" i="3" s="1"/>
  <c r="P39" i="3"/>
  <c r="R39" i="3" s="1"/>
  <c r="T39" i="3" s="1"/>
  <c r="P42" i="3"/>
  <c r="R42" i="3" s="1"/>
  <c r="T42" i="3" s="1"/>
  <c r="P44" i="3"/>
  <c r="R44" i="3" s="1"/>
  <c r="T44" i="3" s="1"/>
  <c r="P60" i="3"/>
  <c r="R60" i="3" s="1"/>
  <c r="T60" i="3" s="1"/>
  <c r="W8" i="3"/>
  <c r="D15" i="3"/>
  <c r="C19" i="3" s="1"/>
  <c r="W17" i="3"/>
  <c r="W19" i="3"/>
  <c r="P46" i="3"/>
  <c r="R46" i="3" s="1"/>
  <c r="T46" i="3" s="1"/>
  <c r="P54" i="3"/>
  <c r="R54" i="3" s="1"/>
  <c r="T54" i="3" s="1"/>
  <c r="P62" i="3"/>
  <c r="R62" i="3" s="1"/>
  <c r="T62" i="3" s="1"/>
  <c r="W5" i="3"/>
  <c r="W16" i="3"/>
  <c r="P22" i="3"/>
  <c r="R22" i="3" s="1"/>
  <c r="T22" i="3" s="1"/>
  <c r="P25" i="3"/>
  <c r="R25" i="3" s="1"/>
  <c r="T25" i="3" s="1"/>
  <c r="P28" i="3"/>
  <c r="R28" i="3" s="1"/>
  <c r="T28" i="3" s="1"/>
  <c r="P33" i="3"/>
  <c r="R33" i="3" s="1"/>
  <c r="T33" i="3" s="1"/>
  <c r="P37" i="3"/>
  <c r="R37" i="3" s="1"/>
  <c r="T37" i="3" s="1"/>
  <c r="P41" i="3"/>
  <c r="R41" i="3" s="1"/>
  <c r="T41" i="3" s="1"/>
  <c r="W15" i="3"/>
  <c r="W20" i="3"/>
  <c r="P47" i="3"/>
  <c r="R47" i="3" s="1"/>
  <c r="T47" i="3" s="1"/>
  <c r="P55" i="3"/>
  <c r="R55" i="3" s="1"/>
  <c r="T55" i="3" s="1"/>
  <c r="W2" i="3"/>
  <c r="W12" i="3"/>
  <c r="P48" i="3"/>
  <c r="R48" i="3" s="1"/>
  <c r="T48" i="3" s="1"/>
  <c r="P56" i="3"/>
  <c r="R56" i="3" s="1"/>
  <c r="T56" i="3" s="1"/>
  <c r="P49" i="3"/>
  <c r="R49" i="3" s="1"/>
  <c r="T49" i="3" s="1"/>
  <c r="E46" i="1"/>
  <c r="F46" i="1" s="1"/>
  <c r="G46" i="1" s="1"/>
  <c r="K46" i="1" s="1"/>
  <c r="E36" i="1"/>
  <c r="F36" i="1" s="1"/>
  <c r="G36" i="1" s="1"/>
  <c r="K36" i="1" s="1"/>
  <c r="E31" i="1"/>
  <c r="F31" i="1" s="1"/>
  <c r="G31" i="1" s="1"/>
  <c r="K31" i="1" s="1"/>
  <c r="E23" i="1"/>
  <c r="F23" i="1" s="1"/>
  <c r="G23" i="1" s="1"/>
  <c r="K23" i="1" s="1"/>
  <c r="E47" i="1"/>
  <c r="E58" i="1"/>
  <c r="F58" i="1" s="1"/>
  <c r="G58" i="1" s="1"/>
  <c r="E43" i="1"/>
  <c r="E14" i="2" s="1"/>
  <c r="E30" i="1"/>
  <c r="F30" i="1" s="1"/>
  <c r="G30" i="1" s="1"/>
  <c r="K30" i="1" s="1"/>
  <c r="E60" i="1"/>
  <c r="F60" i="1" s="1"/>
  <c r="G60" i="1" s="1"/>
  <c r="K60" i="1" s="1"/>
  <c r="E34" i="1"/>
  <c r="F34" i="1" s="1"/>
  <c r="G34" i="1" s="1"/>
  <c r="K34" i="1" s="1"/>
  <c r="E29" i="1"/>
  <c r="F29" i="1" s="1"/>
  <c r="G29" i="1" s="1"/>
  <c r="K29" i="1" s="1"/>
  <c r="E22" i="1"/>
  <c r="E41" i="1"/>
  <c r="E45" i="1"/>
  <c r="E16" i="2" s="1"/>
  <c r="E21" i="1"/>
  <c r="F21" i="1" s="1"/>
  <c r="G21" i="1" s="1"/>
  <c r="K21" i="1" s="1"/>
  <c r="E33" i="1"/>
  <c r="F33" i="1" s="1"/>
  <c r="G33" i="1" s="1"/>
  <c r="K33" i="1" s="1"/>
  <c r="E28" i="1"/>
  <c r="F28" i="1" s="1"/>
  <c r="G28" i="1" s="1"/>
  <c r="K28" i="1" s="1"/>
  <c r="E40" i="1"/>
  <c r="F40" i="1" s="1"/>
  <c r="G40" i="1" s="1"/>
  <c r="K40" i="1" s="1"/>
  <c r="E44" i="1"/>
  <c r="E61" i="1"/>
  <c r="F61" i="1" s="1"/>
  <c r="P61" i="1" s="1"/>
  <c r="E48" i="1"/>
  <c r="E56" i="1"/>
  <c r="F56" i="1" s="1"/>
  <c r="G56" i="1" s="1"/>
  <c r="K56" i="1" s="1"/>
  <c r="E13" i="2"/>
  <c r="E27" i="1"/>
  <c r="F27" i="1" s="1"/>
  <c r="G27" i="1" s="1"/>
  <c r="K27" i="1" s="1"/>
  <c r="E39" i="1"/>
  <c r="F39" i="1" s="1"/>
  <c r="G39" i="1" s="1"/>
  <c r="K39" i="1" s="1"/>
  <c r="E52" i="1"/>
  <c r="F52" i="1" s="1"/>
  <c r="G52" i="1" s="1"/>
  <c r="K52" i="1" s="1"/>
  <c r="E55" i="1"/>
  <c r="F55" i="1" s="1"/>
  <c r="G55" i="1" s="1"/>
  <c r="K55" i="1" s="1"/>
  <c r="E49" i="1"/>
  <c r="E59" i="1"/>
  <c r="F59" i="1" s="1"/>
  <c r="P59" i="1" s="1"/>
  <c r="P53" i="1"/>
  <c r="R53" i="1" s="1"/>
  <c r="T53" i="1" s="1"/>
  <c r="E17" i="2"/>
  <c r="P25" i="1"/>
  <c r="R25" i="1" s="1"/>
  <c r="T25" i="1" s="1"/>
  <c r="W20" i="1"/>
  <c r="W14" i="1"/>
  <c r="F26" i="1"/>
  <c r="G57" i="1"/>
  <c r="K57" i="1" s="1"/>
  <c r="P57" i="1"/>
  <c r="R57" i="1" s="1"/>
  <c r="T57" i="1" s="1"/>
  <c r="P34" i="1"/>
  <c r="R34" i="1" s="1"/>
  <c r="T34" i="1" s="1"/>
  <c r="P55" i="1"/>
  <c r="R55" i="1" s="1"/>
  <c r="T55" i="1" s="1"/>
  <c r="W11" i="1"/>
  <c r="P42" i="1"/>
  <c r="R42" i="1" s="1"/>
  <c r="T42" i="1" s="1"/>
  <c r="P32" i="1"/>
  <c r="R32" i="1" s="1"/>
  <c r="T32" i="1" s="1"/>
  <c r="W7" i="1"/>
  <c r="W5" i="1"/>
  <c r="P38" i="1"/>
  <c r="R38" i="1" s="1"/>
  <c r="T38" i="1" s="1"/>
  <c r="P35" i="1"/>
  <c r="R35" i="1" s="1"/>
  <c r="T35" i="1" s="1"/>
  <c r="P54" i="1"/>
  <c r="R54" i="1" s="1"/>
  <c r="T54" i="1" s="1"/>
  <c r="P51" i="1"/>
  <c r="R51" i="1" s="1"/>
  <c r="T51" i="1" s="1"/>
  <c r="W2" i="1"/>
  <c r="P39" i="1"/>
  <c r="R39" i="1" s="1"/>
  <c r="T39" i="1" s="1"/>
  <c r="W12" i="1"/>
  <c r="W3" i="1"/>
  <c r="W6" i="1"/>
  <c r="W15" i="1"/>
  <c r="P50" i="1"/>
  <c r="R50" i="1" s="1"/>
  <c r="T50" i="1" s="1"/>
  <c r="W13" i="1"/>
  <c r="P23" i="1"/>
  <c r="R23" i="1" s="1"/>
  <c r="T23" i="1" s="1"/>
  <c r="P28" i="1"/>
  <c r="R28" i="1" s="1"/>
  <c r="T28" i="1" s="1"/>
  <c r="W8" i="1"/>
  <c r="P36" i="1"/>
  <c r="R36" i="1" s="1"/>
  <c r="T36" i="1" s="1"/>
  <c r="P24" i="1"/>
  <c r="R24" i="1" s="1"/>
  <c r="T24" i="1" s="1"/>
  <c r="W9" i="1"/>
  <c r="P29" i="1"/>
  <c r="R29" i="1" s="1"/>
  <c r="T29" i="1" s="1"/>
  <c r="P37" i="1"/>
  <c r="R37" i="1" s="1"/>
  <c r="T37" i="1" s="1"/>
  <c r="P40" i="1"/>
  <c r="R40" i="1" s="1"/>
  <c r="T40" i="1" s="1"/>
  <c r="W4" i="1"/>
  <c r="W10" i="1"/>
  <c r="W16" i="1"/>
  <c r="W17" i="1"/>
  <c r="W18" i="1"/>
  <c r="W19" i="1"/>
  <c r="P58" i="1"/>
  <c r="C12" i="3"/>
  <c r="C11" i="3"/>
  <c r="O21" i="3" l="1"/>
  <c r="R21" i="3"/>
  <c r="T21" i="3" s="1"/>
  <c r="R58" i="3"/>
  <c r="T58" i="3" s="1"/>
  <c r="R50" i="3"/>
  <c r="T50" i="3" s="1"/>
  <c r="R51" i="3"/>
  <c r="T51" i="3" s="1"/>
  <c r="O58" i="3"/>
  <c r="O50" i="3"/>
  <c r="O57" i="3"/>
  <c r="O49" i="3"/>
  <c r="O60" i="3"/>
  <c r="O52" i="3"/>
  <c r="O59" i="3"/>
  <c r="O56" i="3"/>
  <c r="O48" i="3"/>
  <c r="O45" i="3"/>
  <c r="O51" i="3"/>
  <c r="O55" i="3"/>
  <c r="O47" i="3"/>
  <c r="O53" i="3"/>
  <c r="O62" i="3"/>
  <c r="O54" i="3"/>
  <c r="O46" i="3"/>
  <c r="C15" i="3"/>
  <c r="O61" i="3"/>
  <c r="C16" i="3"/>
  <c r="D18" i="3" s="1"/>
  <c r="K51" i="3"/>
  <c r="E14" i="3"/>
  <c r="G59" i="1"/>
  <c r="K59" i="1" s="1"/>
  <c r="P33" i="1"/>
  <c r="R33" i="1" s="1"/>
  <c r="T33" i="1" s="1"/>
  <c r="P21" i="1"/>
  <c r="R21" i="1" s="1"/>
  <c r="T21" i="1" s="1"/>
  <c r="F45" i="1"/>
  <c r="G45" i="1" s="1"/>
  <c r="J45" i="1" s="1"/>
  <c r="P60" i="1"/>
  <c r="R60" i="1" s="1"/>
  <c r="T60" i="1" s="1"/>
  <c r="P46" i="1"/>
  <c r="R46" i="1" s="1"/>
  <c r="T46" i="1" s="1"/>
  <c r="P27" i="1"/>
  <c r="R27" i="1" s="1"/>
  <c r="T27" i="1" s="1"/>
  <c r="P30" i="1"/>
  <c r="R30" i="1" s="1"/>
  <c r="T30" i="1" s="1"/>
  <c r="P31" i="1"/>
  <c r="R31" i="1" s="1"/>
  <c r="T31" i="1" s="1"/>
  <c r="E19" i="2"/>
  <c r="F48" i="1"/>
  <c r="F41" i="1"/>
  <c r="E38" i="2"/>
  <c r="P56" i="1"/>
  <c r="R56" i="1" s="1"/>
  <c r="T56" i="1" s="1"/>
  <c r="G61" i="1"/>
  <c r="K61" i="1" s="1"/>
  <c r="F44" i="1"/>
  <c r="D16" i="1" s="1"/>
  <c r="D19" i="1" s="1"/>
  <c r="E15" i="2"/>
  <c r="E11" i="2"/>
  <c r="F22" i="1"/>
  <c r="F49" i="1"/>
  <c r="E20" i="2"/>
  <c r="F43" i="1"/>
  <c r="E18" i="2"/>
  <c r="F47" i="1"/>
  <c r="P52" i="1"/>
  <c r="R52" i="1" s="1"/>
  <c r="T52" i="1" s="1"/>
  <c r="P45" i="1"/>
  <c r="R45" i="1" s="1"/>
  <c r="T45" i="1" s="1"/>
  <c r="R59" i="1"/>
  <c r="T59" i="1" s="1"/>
  <c r="P26" i="1"/>
  <c r="G26" i="1"/>
  <c r="I26" i="1" s="1"/>
  <c r="R58" i="1"/>
  <c r="T58" i="1" s="1"/>
  <c r="K58" i="1"/>
  <c r="F6" i="3" l="1"/>
  <c r="F8" i="3" s="1"/>
  <c r="C18" i="3"/>
  <c r="D15" i="1"/>
  <c r="C19" i="1" s="1"/>
  <c r="P43" i="1"/>
  <c r="R43" i="1" s="1"/>
  <c r="T43" i="1" s="1"/>
  <c r="G47" i="1"/>
  <c r="P47" i="1"/>
  <c r="R47" i="1" s="1"/>
  <c r="T47" i="1" s="1"/>
  <c r="G44" i="1"/>
  <c r="K44" i="1" s="1"/>
  <c r="P44" i="1"/>
  <c r="R44" i="1" s="1"/>
  <c r="T44" i="1" s="1"/>
  <c r="G49" i="1"/>
  <c r="K49" i="1" s="1"/>
  <c r="P49" i="1"/>
  <c r="R49" i="1" s="1"/>
  <c r="T49" i="1" s="1"/>
  <c r="G41" i="1"/>
  <c r="K41" i="1" s="1"/>
  <c r="P41" i="1"/>
  <c r="R61" i="1"/>
  <c r="T61" i="1" s="1"/>
  <c r="G43" i="1"/>
  <c r="K43" i="1" s="1"/>
  <c r="G22" i="1"/>
  <c r="K22" i="1" s="1"/>
  <c r="P22" i="1"/>
  <c r="R22" i="1" s="1"/>
  <c r="T22" i="1" s="1"/>
  <c r="G48" i="1"/>
  <c r="K48" i="1" s="1"/>
  <c r="P48" i="1"/>
  <c r="R48" i="1" s="1"/>
  <c r="T48" i="1" s="1"/>
  <c r="R26" i="1"/>
  <c r="T26" i="1" s="1"/>
  <c r="C12" i="1"/>
  <c r="C11" i="1"/>
  <c r="F7" i="3" l="1"/>
  <c r="C16" i="1"/>
  <c r="D18" i="1" s="1"/>
  <c r="O54" i="1"/>
  <c r="C15" i="1"/>
  <c r="F6" i="1" s="1"/>
  <c r="O57" i="1"/>
  <c r="O45" i="1"/>
  <c r="O55" i="1"/>
  <c r="O52" i="1"/>
  <c r="O48" i="1"/>
  <c r="O60" i="1"/>
  <c r="O46" i="1"/>
  <c r="O50" i="1"/>
  <c r="O53" i="1"/>
  <c r="O61" i="1"/>
  <c r="O56" i="1"/>
  <c r="O44" i="1"/>
  <c r="O58" i="1"/>
  <c r="O47" i="1"/>
  <c r="O51" i="1"/>
  <c r="O59" i="1"/>
  <c r="O49" i="1"/>
  <c r="R41" i="1"/>
  <c r="T41" i="1" s="1"/>
  <c r="E14" i="1" s="1"/>
  <c r="K47" i="1"/>
  <c r="F8" i="1" l="1"/>
  <c r="C18" i="1"/>
  <c r="F7" i="1" l="1"/>
</calcChain>
</file>

<file path=xl/sharedStrings.xml><?xml version="1.0" encoding="utf-8"?>
<sst xmlns="http://schemas.openxmlformats.org/spreadsheetml/2006/main" count="532" uniqueCount="185">
  <si>
    <t>VSB-66</t>
  </si>
  <si>
    <t>IBVS 6244</t>
  </si>
  <si>
    <t>IBVS 6196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</si>
  <si>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</si>
  <si>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</si>
  <si>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</si>
  <si>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</si>
  <si>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</si>
  <si>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</si>
  <si>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</si>
  <si>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</si>
  <si>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</si>
  <si>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</si>
  <si>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</si>
  <si>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</si>
  <si>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</si>
  <si>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</si>
  <si>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</si>
  <si>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</si>
  <si>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</si>
  <si>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</si>
  <si>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</si>
  <si>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</si>
  <si>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</si>
  <si>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</si>
  <si>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</si>
  <si>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</si>
  <si>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</si>
  <si>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</si>
  <si>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</si>
  <si>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</si>
  <si>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</si>
  <si>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</si>
  <si>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</si>
  <si>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Kreiner Eph.</t>
  </si>
  <si>
    <t>LR Com / GSC1448-2869</t>
  </si>
  <si>
    <t>EA</t>
  </si>
  <si>
    <t>Kreiner</t>
  </si>
  <si>
    <t>IBVS 5894</t>
  </si>
  <si>
    <t>I</t>
  </si>
  <si>
    <t>OEJV 0074</t>
  </si>
  <si>
    <t>CCD+R</t>
  </si>
  <si>
    <t>CCD+I</t>
  </si>
  <si>
    <t>II</t>
  </si>
  <si>
    <t>CCD+V</t>
  </si>
  <si>
    <t>OEJV 0107</t>
  </si>
  <si>
    <t>OEJV 0003</t>
  </si>
  <si>
    <t>Add cycle</t>
  </si>
  <si>
    <t>Old Cycle</t>
  </si>
  <si>
    <t>IBVS 5992</t>
  </si>
  <si>
    <t>IBVS 6010</t>
  </si>
  <si>
    <t>IBVS 6029</t>
  </si>
  <si>
    <t>IBVS 6092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</si>
  <si>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</si>
  <si>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</si>
  <si>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</si>
  <si>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</si>
  <si>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</si>
  <si>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</si>
  <si>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</si>
  <si>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</si>
  <si>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</si>
  <si>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</si>
  <si>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</si>
  <si>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</si>
  <si>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</si>
  <si>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</si>
  <si>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</si>
  <si>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</si>
  <si>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</si>
  <si>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2453108.4556 </t>
  </si>
  <si>
    <t> 12.04.2004 22:56 </t>
  </si>
  <si>
    <t> -0.0013 </t>
  </si>
  <si>
    <t>C </t>
  </si>
  <si>
    <t>R</t>
  </si>
  <si>
    <t> L.Šmelcer </t>
  </si>
  <si>
    <t>OEJV 0074 </t>
  </si>
  <si>
    <t>2453109.3542 </t>
  </si>
  <si>
    <t> 13.04.2004 20:30 </t>
  </si>
  <si>
    <t> 0.0010 </t>
  </si>
  <si>
    <t>2453117.4185 </t>
  </si>
  <si>
    <t> 21.04.2004 22:02 </t>
  </si>
  <si>
    <t> -0.0014 </t>
  </si>
  <si>
    <t>2453340.5965 </t>
  </si>
  <si>
    <t> 01.12.2004 02:18 </t>
  </si>
  <si>
    <t> -0.0011 </t>
  </si>
  <si>
    <t>2453374.665 </t>
  </si>
  <si>
    <t> 04.01.2005 03:57 </t>
  </si>
  <si>
    <t> 0.008 </t>
  </si>
  <si>
    <t>V </t>
  </si>
  <si>
    <t> K.Locher </t>
  </si>
  <si>
    <t>OEJV 0003 </t>
  </si>
  <si>
    <t>2453388.5489 </t>
  </si>
  <si>
    <t> 18.01.2005 01:10 </t>
  </si>
  <si>
    <t> -0.0006 </t>
  </si>
  <si>
    <t>2453409.6115 </t>
  </si>
  <si>
    <t> 08.02.2005 02:40 </t>
  </si>
  <si>
    <t> -0.0009 </t>
  </si>
  <si>
    <t>2453454.4268 </t>
  </si>
  <si>
    <t> 24.03.2005 22:14 </t>
  </si>
  <si>
    <t> -0.0005 </t>
  </si>
  <si>
    <t>2453462.4927 </t>
  </si>
  <si>
    <t> 01.04.2005 23:49 </t>
  </si>
  <si>
    <t> -0.0012 </t>
  </si>
  <si>
    <t>2453463.3899 </t>
  </si>
  <si>
    <t> 02.04.2005 21:21 </t>
  </si>
  <si>
    <t> -0.0003 </t>
  </si>
  <si>
    <t>2453515.3781 </t>
  </si>
  <si>
    <t> 24.05.2005 21:04 </t>
  </si>
  <si>
    <t> 0.0027 </t>
  </si>
  <si>
    <t>2453791.4353 </t>
  </si>
  <si>
    <t> 24.02.2006 22:26 </t>
  </si>
  <si>
    <t> 0.0006 </t>
  </si>
  <si>
    <t>2453833.5606 </t>
  </si>
  <si>
    <t> 08.04.2006 01:27 </t>
  </si>
  <si>
    <t> 0.0000 </t>
  </si>
  <si>
    <t>2453848.3517 </t>
  </si>
  <si>
    <t> 22.04.2006 20:26 </t>
  </si>
  <si>
    <t> 0.0022 </t>
  </si>
  <si>
    <t>2454171.4641 </t>
  </si>
  <si>
    <t> 11.03.2007 23:08 </t>
  </si>
  <si>
    <t> -0.0002 </t>
  </si>
  <si>
    <t>2454171.4642 </t>
  </si>
  <si>
    <t> -0.0001 </t>
  </si>
  <si>
    <t>2454171.4646 </t>
  </si>
  <si>
    <t> 11.03.2007 23:09 </t>
  </si>
  <si>
    <t> 0.0003 </t>
  </si>
  <si>
    <t>2454202.3860 </t>
  </si>
  <si>
    <t> 11.04.2007 21:15 </t>
  </si>
  <si>
    <t>2454202.3883 </t>
  </si>
  <si>
    <t> 11.04.2007 21:19 </t>
  </si>
  <si>
    <t> 0.0018 </t>
  </si>
  <si>
    <t>2454572.1085 </t>
  </si>
  <si>
    <t> 15.04.2008 14:36 </t>
  </si>
  <si>
    <t> H.Itoh </t>
  </si>
  <si>
    <t>VSB 48 </t>
  </si>
  <si>
    <t>2454884.9132 </t>
  </si>
  <si>
    <t> 22.02.2009 09:55 </t>
  </si>
  <si>
    <t> -0.0030 </t>
  </si>
  <si>
    <t> R.Diethelm </t>
  </si>
  <si>
    <t>IBVS 5894 </t>
  </si>
  <si>
    <t>2454937.3484 </t>
  </si>
  <si>
    <t> 15.04.2009 20:21 </t>
  </si>
  <si>
    <t> R.Ehrenberger </t>
  </si>
  <si>
    <t>OEJV 0107 </t>
  </si>
  <si>
    <t>2455654.8337 </t>
  </si>
  <si>
    <t> 03.04.2011 08:00 </t>
  </si>
  <si>
    <t> -0.0010 </t>
  </si>
  <si>
    <t>IBVS 5992 </t>
  </si>
  <si>
    <t>2455667.3825 </t>
  </si>
  <si>
    <t> 15.04.2011 21:10 </t>
  </si>
  <si>
    <t>o</t>
  </si>
  <si>
    <t> J.Schirmer </t>
  </si>
  <si>
    <t>BAVM 220 </t>
  </si>
  <si>
    <t>2455973.9181 </t>
  </si>
  <si>
    <t> 16.02.2012 10:02 </t>
  </si>
  <si>
    <t> 0.0019 </t>
  </si>
  <si>
    <t>IBVS 6029 </t>
  </si>
  <si>
    <t>2455982.8804 </t>
  </si>
  <si>
    <t> 25.02.2012 09:07 </t>
  </si>
  <si>
    <t> 0.0013 </t>
  </si>
  <si>
    <t>2456363.806 </t>
  </si>
  <si>
    <t> 12.03.2013 07:20 </t>
  </si>
  <si>
    <t> 0.001 </t>
  </si>
  <si>
    <t> R.Nelson </t>
  </si>
  <si>
    <t>IBVS 6092 </t>
  </si>
  <si>
    <t>2457021.692 </t>
  </si>
  <si>
    <t> 30.12.2014 04:36 </t>
  </si>
  <si>
    <t> 0.005 </t>
  </si>
  <si>
    <t> A.Paschke </t>
  </si>
  <si>
    <t>OEJV 0172 </t>
  </si>
  <si>
    <t>IBVS 6154</t>
  </si>
  <si>
    <t>JAVSO..43..238</t>
  </si>
  <si>
    <t>VSB-64</t>
  </si>
  <si>
    <t>Rc</t>
  </si>
  <si>
    <t>OEJV 0211</t>
  </si>
  <si>
    <t>JBAV, 60</t>
  </si>
  <si>
    <t>OEJV 234</t>
  </si>
  <si>
    <t>JAAVSO, 51, 250</t>
  </si>
  <si>
    <t>OEJV 250</t>
  </si>
  <si>
    <t>10.8-11.7</t>
  </si>
  <si>
    <t>VSX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</si>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</sst>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18" fillId="24" borderId="24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6" fontId="38" fillId="0" borderId="0" xfId="0" applyNumberFormat="1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center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7" fontId="40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25" borderId="26" xfId="0" applyFill="1" applyBorder="1" applyAlignment="1">
      <alignment horizontal="right" vertical="center"/>
    </xf>
    <xf numFmtId="0" fontId="0" fillId="25" borderId="27" xfId="0" applyFill="1" applyBorder="1" applyAlignment="1">
      <alignment horizontal="center" vertical="center"/>
    </xf>
    <xf numFmtId="0" fontId="41" fillId="0" borderId="28" xfId="0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42" fillId="0" borderId="29" xfId="0" applyFont="1" applyBorder="1" applyAlignment="1">
      <alignment horizontal="right" vertical="center"/>
    </xf>
    <xf numFmtId="22" fontId="42" fillId="0" borderId="29" xfId="0" applyNumberFormat="1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22" fontId="42" fillId="0" borderId="31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Com - O-C Diagr.</a:t>
            </a:r>
          </a:p>
        </c:rich>
      </c:tx>
      <c:layout>
        <c:manualLayout>
          <c:xMode val="edge"/>
          <c:yMode val="edge"/>
          <c:x val="0.3819548872180451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5534029676216363"/>
          <c:w val="0.81203007518796988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6-4781-A4F6-B7FED282409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5">
                  <c:v>8.1124999996973202E-3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6-4781-A4F6-B7FED282409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24">
                  <c:v>-8.3450000238372013E-4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96-4781-A4F6-B7FED282409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0</c:v>
                </c:pt>
                <c:pt idx="1">
                  <c:v>-1.2270000006537884E-3</c:v>
                </c:pt>
                <c:pt idx="2">
                  <c:v>1.0564999975031242E-3</c:v>
                </c:pt>
                <c:pt idx="3">
                  <c:v>-1.3420000032056123E-3</c:v>
                </c:pt>
                <c:pt idx="4">
                  <c:v>-1.1105000012321398E-3</c:v>
                </c:pt>
                <c:pt idx="6">
                  <c:v>-6.33250005193986E-4</c:v>
                </c:pt>
                <c:pt idx="7">
                  <c:v>-9.7100000130012631E-4</c:v>
                </c:pt>
                <c:pt idx="8">
                  <c:v>-4.8600000445730984E-4</c:v>
                </c:pt>
                <c:pt idx="9">
                  <c:v>-1.2644999951589853E-3</c:v>
                </c:pt>
                <c:pt idx="10">
                  <c:v>-3.6099999852012843E-4</c:v>
                </c:pt>
                <c:pt idx="11">
                  <c:v>2.701999997952953E-3</c:v>
                </c:pt>
                <c:pt idx="12">
                  <c:v>4.8999999853549525E-4</c:v>
                </c:pt>
                <c:pt idx="13">
                  <c:v>-1.0550000297371298E-4</c:v>
                </c:pt>
                <c:pt idx="14">
                  <c:v>2.142249999451451E-3</c:v>
                </c:pt>
                <c:pt idx="15">
                  <c:v>-3.8599999970756471E-4</c:v>
                </c:pt>
                <c:pt idx="16">
                  <c:v>-2.860000022337772E-4</c:v>
                </c:pt>
                <c:pt idx="17">
                  <c:v>1.140000022132881E-4</c:v>
                </c:pt>
                <c:pt idx="18">
                  <c:v>-6.6525000147521496E-4</c:v>
                </c:pt>
                <c:pt idx="19">
                  <c:v>1.6347499986295588E-3</c:v>
                </c:pt>
                <c:pt idx="20">
                  <c:v>-5.115000021760352E-4</c:v>
                </c:pt>
                <c:pt idx="21">
                  <c:v>-3.2900000005611219E-3</c:v>
                </c:pt>
                <c:pt idx="22">
                  <c:v>-1.4352500002132729E-3</c:v>
                </c:pt>
                <c:pt idx="23">
                  <c:v>-1.4834999965387397E-3</c:v>
                </c:pt>
                <c:pt idx="25">
                  <c:v>1.3624999992316589E-3</c:v>
                </c:pt>
                <c:pt idx="26">
                  <c:v>6.9749999966006726E-4</c:v>
                </c:pt>
                <c:pt idx="27">
                  <c:v>2.8499999461928383E-4</c:v>
                </c:pt>
                <c:pt idx="28">
                  <c:v>4.6540000039385632E-3</c:v>
                </c:pt>
                <c:pt idx="29">
                  <c:v>5.0507499981904402E-3</c:v>
                </c:pt>
                <c:pt idx="30">
                  <c:v>5.0634999934118241E-3</c:v>
                </c:pt>
                <c:pt idx="31">
                  <c:v>7.8829999984009191E-3</c:v>
                </c:pt>
                <c:pt idx="32">
                  <c:v>9.6109999940381385E-3</c:v>
                </c:pt>
                <c:pt idx="33">
                  <c:v>8.9354999945499003E-3</c:v>
                </c:pt>
                <c:pt idx="34">
                  <c:v>1.0621249879477546E-2</c:v>
                </c:pt>
                <c:pt idx="35">
                  <c:v>9.9670001218328252E-3</c:v>
                </c:pt>
                <c:pt idx="36">
                  <c:v>1.5153749998717103E-2</c:v>
                </c:pt>
                <c:pt idx="37">
                  <c:v>1.2168499997642357E-2</c:v>
                </c:pt>
                <c:pt idx="38">
                  <c:v>1.2671999997110106E-2</c:v>
                </c:pt>
                <c:pt idx="39">
                  <c:v>1.5308999994886108E-2</c:v>
                </c:pt>
                <c:pt idx="40">
                  <c:v>1.9294999998237472E-2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96-4781-A4F6-B7FED282409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96-4781-A4F6-B7FED282409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96-4781-A4F6-B7FED282409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1E-3</c:v>
                  </c:pt>
                  <c:pt idx="28">
                    <c:v>8.9999999999999993E-3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2.2000000000000001E-3</c:v>
                  </c:pt>
                  <c:pt idx="32">
                    <c:v>0</c:v>
                  </c:pt>
                  <c:pt idx="33">
                    <c:v>2E-3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2.0000000000000001E-4</c:v>
                  </c:pt>
                  <c:pt idx="37">
                    <c:v>5.0000000000000001E-4</c:v>
                  </c:pt>
                  <c:pt idx="38">
                    <c:v>1.8E-3</c:v>
                  </c:pt>
                  <c:pt idx="39">
                    <c:v>1E-4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96-4781-A4F6-B7FED282409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678</c:v>
                </c:pt>
                <c:pt idx="2">
                  <c:v>679</c:v>
                </c:pt>
                <c:pt idx="3">
                  <c:v>688</c:v>
                </c:pt>
                <c:pt idx="4">
                  <c:v>937</c:v>
                </c:pt>
                <c:pt idx="5">
                  <c:v>975</c:v>
                </c:pt>
                <c:pt idx="6">
                  <c:v>990.5</c:v>
                </c:pt>
                <c:pt idx="7">
                  <c:v>1014</c:v>
                </c:pt>
                <c:pt idx="8">
                  <c:v>1064</c:v>
                </c:pt>
                <c:pt idx="9">
                  <c:v>1073</c:v>
                </c:pt>
                <c:pt idx="10">
                  <c:v>1074</c:v>
                </c:pt>
                <c:pt idx="11">
                  <c:v>1132</c:v>
                </c:pt>
                <c:pt idx="12">
                  <c:v>1440</c:v>
                </c:pt>
                <c:pt idx="13">
                  <c:v>1487</c:v>
                </c:pt>
                <c:pt idx="14">
                  <c:v>1503.5</c:v>
                </c:pt>
                <c:pt idx="15">
                  <c:v>1864</c:v>
                </c:pt>
                <c:pt idx="16">
                  <c:v>1864</c:v>
                </c:pt>
                <c:pt idx="17">
                  <c:v>1864</c:v>
                </c:pt>
                <c:pt idx="18">
                  <c:v>1898.5</c:v>
                </c:pt>
                <c:pt idx="19">
                  <c:v>1898.5</c:v>
                </c:pt>
                <c:pt idx="20">
                  <c:v>2311</c:v>
                </c:pt>
                <c:pt idx="21">
                  <c:v>2660</c:v>
                </c:pt>
                <c:pt idx="22">
                  <c:v>2718.5</c:v>
                </c:pt>
                <c:pt idx="23">
                  <c:v>3519</c:v>
                </c:pt>
                <c:pt idx="24">
                  <c:v>3533</c:v>
                </c:pt>
                <c:pt idx="25">
                  <c:v>3875</c:v>
                </c:pt>
                <c:pt idx="26">
                  <c:v>3885</c:v>
                </c:pt>
                <c:pt idx="27">
                  <c:v>4310</c:v>
                </c:pt>
                <c:pt idx="28">
                  <c:v>5044</c:v>
                </c:pt>
                <c:pt idx="29">
                  <c:v>5114.5</c:v>
                </c:pt>
                <c:pt idx="30">
                  <c:v>5161</c:v>
                </c:pt>
                <c:pt idx="31">
                  <c:v>5538</c:v>
                </c:pt>
                <c:pt idx="32">
                  <c:v>5946</c:v>
                </c:pt>
                <c:pt idx="33">
                  <c:v>5953</c:v>
                </c:pt>
                <c:pt idx="34">
                  <c:v>5957.5</c:v>
                </c:pt>
                <c:pt idx="35">
                  <c:v>6362</c:v>
                </c:pt>
                <c:pt idx="36">
                  <c:v>7512.5</c:v>
                </c:pt>
                <c:pt idx="37">
                  <c:v>7591</c:v>
                </c:pt>
                <c:pt idx="38">
                  <c:v>7592</c:v>
                </c:pt>
                <c:pt idx="39">
                  <c:v>7974</c:v>
                </c:pt>
                <c:pt idx="40">
                  <c:v>8370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23">
                  <c:v>-6.2606039075820824E-4</c:v>
                </c:pt>
                <c:pt idx="24">
                  <c:v>-5.7384452558199676E-4</c:v>
                </c:pt>
                <c:pt idx="25">
                  <c:v>7.0171446657972883E-4</c:v>
                </c:pt>
                <c:pt idx="26">
                  <c:v>7.3901151313416485E-4</c:v>
                </c:pt>
                <c:pt idx="27">
                  <c:v>2.324135991697715E-3</c:v>
                </c:pt>
                <c:pt idx="28">
                  <c:v>5.0617392087933498E-3</c:v>
                </c:pt>
                <c:pt idx="29">
                  <c:v>5.324683387002125E-3</c:v>
                </c:pt>
                <c:pt idx="30">
                  <c:v>5.4981146534802544E-3</c:v>
                </c:pt>
                <c:pt idx="31">
                  <c:v>6.9042133085825096E-3</c:v>
                </c:pt>
                <c:pt idx="32">
                  <c:v>8.4259328080035154E-3</c:v>
                </c:pt>
                <c:pt idx="33">
                  <c:v>8.4520407405916202E-3</c:v>
                </c:pt>
                <c:pt idx="34">
                  <c:v>8.468824411541117E-3</c:v>
                </c:pt>
                <c:pt idx="35">
                  <c:v>9.9774899446680686E-3</c:v>
                </c:pt>
                <c:pt idx="36">
                  <c:v>1.4268515150755983E-2</c:v>
                </c:pt>
                <c:pt idx="37">
                  <c:v>1.4561296966208309E-2</c:v>
                </c:pt>
                <c:pt idx="38">
                  <c:v>1.4565026670863752E-2</c:v>
                </c:pt>
                <c:pt idx="39">
                  <c:v>1.5989773849243223E-2</c:v>
                </c:pt>
                <c:pt idx="40">
                  <c:v>1.7466736892798904E-2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96-4781-A4F6-B7FED2824093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1'!$V$2:$V$20</c:f>
              <c:numCache>
                <c:formatCode>General</c:formatCode>
                <c:ptCount val="19"/>
                <c:pt idx="0">
                  <c:v>-500</c:v>
                </c:pt>
                <c:pt idx="1">
                  <c:v>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2500</c:v>
                </c:pt>
                <c:pt idx="7">
                  <c:v>3000</c:v>
                </c:pt>
                <c:pt idx="8">
                  <c:v>3500</c:v>
                </c:pt>
                <c:pt idx="9">
                  <c:v>4000</c:v>
                </c:pt>
                <c:pt idx="10">
                  <c:v>4500</c:v>
                </c:pt>
                <c:pt idx="11">
                  <c:v>5000</c:v>
                </c:pt>
                <c:pt idx="12">
                  <c:v>5500</c:v>
                </c:pt>
                <c:pt idx="13">
                  <c:v>6000</c:v>
                </c:pt>
                <c:pt idx="14">
                  <c:v>6500</c:v>
                </c:pt>
                <c:pt idx="15">
                  <c:v>7000</c:v>
                </c:pt>
                <c:pt idx="16">
                  <c:v>7500</c:v>
                </c:pt>
                <c:pt idx="17">
                  <c:v>8000</c:v>
                </c:pt>
                <c:pt idx="18">
                  <c:v>8500</c:v>
                </c:pt>
              </c:numCache>
            </c:numRef>
          </c:xVal>
          <c:yVal>
            <c:numRef>
              <c:f>'Active 1'!$W$2:$W$20</c:f>
              <c:numCache>
                <c:formatCode>General</c:formatCode>
                <c:ptCount val="19"/>
                <c:pt idx="0">
                  <c:v>2.8893851351291188E-3</c:v>
                </c:pt>
                <c:pt idx="1">
                  <c:v>1.5662974393329033E-3</c:v>
                </c:pt>
                <c:pt idx="2">
                  <c:v>5.3268974103303597E-4</c:v>
                </c:pt>
                <c:pt idx="3">
                  <c:v>-2.1143795977048333E-4</c:v>
                </c:pt>
                <c:pt idx="4">
                  <c:v>-6.6608566307765492E-4</c:v>
                </c:pt>
                <c:pt idx="5">
                  <c:v>-8.312533688884776E-4</c:v>
                </c:pt>
                <c:pt idx="6">
                  <c:v>-7.0694107720295366E-4</c:v>
                </c:pt>
                <c:pt idx="7">
                  <c:v>-2.9314878802107983E-4</c:v>
                </c:pt>
                <c:pt idx="8">
                  <c:v>4.1012349865714084E-4</c:v>
                </c:pt>
                <c:pt idx="9">
                  <c:v>1.4028757828317105E-3</c:v>
                </c:pt>
                <c:pt idx="10">
                  <c:v>2.6851080645026275E-3</c:v>
                </c:pt>
                <c:pt idx="11">
                  <c:v>4.2568203436698926E-3</c:v>
                </c:pt>
                <c:pt idx="12">
                  <c:v>6.1180126203335076E-3</c:v>
                </c:pt>
                <c:pt idx="13">
                  <c:v>8.2686848944934672E-3</c:v>
                </c:pt>
                <c:pt idx="14">
                  <c:v>1.070883716614978E-2</c:v>
                </c:pt>
                <c:pt idx="15">
                  <c:v>1.3438469435302436E-2</c:v>
                </c:pt>
                <c:pt idx="16">
                  <c:v>1.6457581701951447E-2</c:v>
                </c:pt>
                <c:pt idx="17">
                  <c:v>1.9766173966096798E-2</c:v>
                </c:pt>
                <c:pt idx="18">
                  <c:v>2.3364246227738496E-2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96-4781-A4F6-B7FED282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816"/>
        <c:axId val="1"/>
      </c:scatterChart>
      <c:valAx>
        <c:axId val="754648816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1586066304818692"/>
          <c:w val="0.71879699248120299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LR Com O-C Diag</a:t>
            </a:r>
            <a:r>
              <a:rPr lang="en-AU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VSX</a:t>
            </a:r>
            <a:endParaRPr lang="en-AU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2'!$H$21:$H$930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87-424D-88A8-14B65980393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2'!$I$21:$I$930</c:f>
              <c:numCache>
                <c:formatCode>General</c:formatCode>
                <c:ptCount val="910"/>
                <c:pt idx="6">
                  <c:v>-5.0859999973908998E-3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7-424D-88A8-14B65980393E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2'!$J$21:$J$930</c:f>
              <c:numCache>
                <c:formatCode>General</c:formatCode>
                <c:ptCount val="910"/>
                <c:pt idx="25">
                  <c:v>-2.0428000003448687E-2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87-424D-88A8-14B65980393E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2'!$K$21:$K$930</c:f>
              <c:numCache>
                <c:formatCode>General</c:formatCode>
                <c:ptCount val="910"/>
                <c:pt idx="0">
                  <c:v>0</c:v>
                </c:pt>
                <c:pt idx="1">
                  <c:v>-1.0760999997728504E-2</c:v>
                </c:pt>
                <c:pt idx="2">
                  <c:v>-1.3682999997399747E-2</c:v>
                </c:pt>
                <c:pt idx="3">
                  <c:v>-1.1401999996451195E-2</c:v>
                </c:pt>
                <c:pt idx="4">
                  <c:v>-1.3823000001139008E-2</c:v>
                </c:pt>
                <c:pt idx="5">
                  <c:v>-1.4213999995263293E-2</c:v>
                </c:pt>
                <c:pt idx="7">
                  <c:v>-1.3870500006305519E-2</c:v>
                </c:pt>
                <c:pt idx="8">
                  <c:v>-1.4266999998653773E-2</c:v>
                </c:pt>
                <c:pt idx="9">
                  <c:v>-1.3907000000472181E-2</c:v>
                </c:pt>
                <c:pt idx="10">
                  <c:v>-1.4707999995152932E-2</c:v>
                </c:pt>
                <c:pt idx="11">
                  <c:v>-1.3806999995722435E-2</c:v>
                </c:pt>
                <c:pt idx="12">
                  <c:v>-1.0888999997405335E-2</c:v>
                </c:pt>
                <c:pt idx="13">
                  <c:v>-1.3870999995560851E-2</c:v>
                </c:pt>
                <c:pt idx="14">
                  <c:v>-1.4584000004106201E-2</c:v>
                </c:pt>
                <c:pt idx="15">
                  <c:v>-1.2377500002912711E-2</c:v>
                </c:pt>
                <c:pt idx="16">
                  <c:v>-1.5807000003405847E-2</c:v>
                </c:pt>
                <c:pt idx="17">
                  <c:v>-1.5707000005932059E-2</c:v>
                </c:pt>
                <c:pt idx="18">
                  <c:v>-1.5307000001484994E-2</c:v>
                </c:pt>
                <c:pt idx="19">
                  <c:v>-1.6172500007087365E-2</c:v>
                </c:pt>
                <c:pt idx="20">
                  <c:v>-1.3872500006982591E-2</c:v>
                </c:pt>
                <c:pt idx="21">
                  <c:v>-1.705000000220025E-2</c:v>
                </c:pt>
                <c:pt idx="22">
                  <c:v>-2.07010000012815E-2</c:v>
                </c:pt>
                <c:pt idx="23">
                  <c:v>-1.8992500001331791E-2</c:v>
                </c:pt>
                <c:pt idx="24">
                  <c:v>-2.1042000000306871E-2</c:v>
                </c:pt>
                <c:pt idx="26">
                  <c:v>-1.9086000000243075E-2</c:v>
                </c:pt>
                <c:pt idx="27">
                  <c:v>-1.9776000001002103E-2</c:v>
                </c:pt>
                <c:pt idx="28">
                  <c:v>-2.1251000005577225E-2</c:v>
                </c:pt>
                <c:pt idx="29">
                  <c:v>-1.8716999999014661E-2</c:v>
                </c:pt>
                <c:pt idx="30">
                  <c:v>-1.8496500000765081E-2</c:v>
                </c:pt>
                <c:pt idx="31">
                  <c:v>-1.8600000003061723E-2</c:v>
                </c:pt>
                <c:pt idx="32">
                  <c:v>-1.6723000000638422E-2</c:v>
                </c:pt>
                <c:pt idx="33">
                  <c:v>-1.6015000001061708E-2</c:v>
                </c:pt>
                <c:pt idx="34">
                  <c:v>-1.6708000002836343E-2</c:v>
                </c:pt>
                <c:pt idx="35">
                  <c:v>-1.5033500123536214E-2</c:v>
                </c:pt>
                <c:pt idx="36">
                  <c:v>-1.6698999876098242E-2</c:v>
                </c:pt>
                <c:pt idx="37">
                  <c:v>-1.4388499999768101E-2</c:v>
                </c:pt>
                <c:pt idx="38">
                  <c:v>-1.7569999996339902E-2</c:v>
                </c:pt>
                <c:pt idx="39">
                  <c:v>-1.7069000001356471E-2</c:v>
                </c:pt>
                <c:pt idx="40">
                  <c:v>-1.5386999999464024E-2</c:v>
                </c:pt>
                <c:pt idx="41">
                  <c:v>-1.2391000003844965E-2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87-424D-88A8-14B65980393E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2'!$L$21:$L$930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87-424D-88A8-14B65980393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2'!$M$21:$M$930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87-424D-88A8-14B65980393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2'!$N$21:$N$930</c:f>
              <c:numCache>
                <c:formatCode>General</c:formatCode>
                <c:ptCount val="9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87-424D-88A8-14B65980393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3139</c:v>
                </c:pt>
                <c:pt idx="2">
                  <c:v>3817</c:v>
                </c:pt>
                <c:pt idx="3">
                  <c:v>3818</c:v>
                </c:pt>
                <c:pt idx="4">
                  <c:v>3827</c:v>
                </c:pt>
                <c:pt idx="5">
                  <c:v>4076</c:v>
                </c:pt>
                <c:pt idx="6">
                  <c:v>4114</c:v>
                </c:pt>
                <c:pt idx="7">
                  <c:v>4129.5</c:v>
                </c:pt>
                <c:pt idx="8">
                  <c:v>4153</c:v>
                </c:pt>
                <c:pt idx="9">
                  <c:v>4203</c:v>
                </c:pt>
                <c:pt idx="10">
                  <c:v>4212</c:v>
                </c:pt>
                <c:pt idx="11">
                  <c:v>4213</c:v>
                </c:pt>
                <c:pt idx="12">
                  <c:v>4271</c:v>
                </c:pt>
                <c:pt idx="13">
                  <c:v>4579</c:v>
                </c:pt>
                <c:pt idx="14">
                  <c:v>4626</c:v>
                </c:pt>
                <c:pt idx="15">
                  <c:v>4642.5</c:v>
                </c:pt>
                <c:pt idx="16">
                  <c:v>5003</c:v>
                </c:pt>
                <c:pt idx="17">
                  <c:v>5003</c:v>
                </c:pt>
                <c:pt idx="18">
                  <c:v>5003</c:v>
                </c:pt>
                <c:pt idx="19">
                  <c:v>5037.5</c:v>
                </c:pt>
                <c:pt idx="20">
                  <c:v>5037.5</c:v>
                </c:pt>
                <c:pt idx="21">
                  <c:v>5450</c:v>
                </c:pt>
                <c:pt idx="22">
                  <c:v>5799</c:v>
                </c:pt>
                <c:pt idx="23">
                  <c:v>5857.5</c:v>
                </c:pt>
                <c:pt idx="24">
                  <c:v>6658</c:v>
                </c:pt>
                <c:pt idx="25">
                  <c:v>6672</c:v>
                </c:pt>
                <c:pt idx="26">
                  <c:v>7014</c:v>
                </c:pt>
                <c:pt idx="27">
                  <c:v>7024</c:v>
                </c:pt>
                <c:pt idx="28">
                  <c:v>7449</c:v>
                </c:pt>
                <c:pt idx="29">
                  <c:v>8183</c:v>
                </c:pt>
                <c:pt idx="30">
                  <c:v>8253.5</c:v>
                </c:pt>
                <c:pt idx="31">
                  <c:v>8300</c:v>
                </c:pt>
                <c:pt idx="32">
                  <c:v>8677</c:v>
                </c:pt>
                <c:pt idx="33">
                  <c:v>9085</c:v>
                </c:pt>
                <c:pt idx="34">
                  <c:v>9092</c:v>
                </c:pt>
                <c:pt idx="35">
                  <c:v>9096.5</c:v>
                </c:pt>
                <c:pt idx="36">
                  <c:v>9501</c:v>
                </c:pt>
                <c:pt idx="37">
                  <c:v>10651.5</c:v>
                </c:pt>
                <c:pt idx="38">
                  <c:v>10730</c:v>
                </c:pt>
                <c:pt idx="39">
                  <c:v>10731</c:v>
                </c:pt>
                <c:pt idx="40">
                  <c:v>11113</c:v>
                </c:pt>
                <c:pt idx="41">
                  <c:v>11509</c:v>
                </c:pt>
              </c:numCache>
            </c:numRef>
          </c:xVal>
          <c:yVal>
            <c:numRef>
              <c:f>'Active 2'!$O$21:$O$930</c:f>
              <c:numCache>
                <c:formatCode>General</c:formatCode>
                <c:ptCount val="910"/>
                <c:pt idx="0">
                  <c:v>-2.8534276573782293E-2</c:v>
                </c:pt>
                <c:pt idx="24">
                  <c:v>-2.0238206211524938E-2</c:v>
                </c:pt>
                <c:pt idx="25">
                  <c:v>-2.0220761786011031E-2</c:v>
                </c:pt>
                <c:pt idx="26">
                  <c:v>-1.9794619391314119E-2</c:v>
                </c:pt>
                <c:pt idx="27">
                  <c:v>-1.9782159087375614E-2</c:v>
                </c:pt>
                <c:pt idx="28">
                  <c:v>-1.9252596169989106E-2</c:v>
                </c:pt>
                <c:pt idx="29">
                  <c:v>-1.8338009860902758E-2</c:v>
                </c:pt>
                <c:pt idx="30">
                  <c:v>-1.8250164718136293E-2</c:v>
                </c:pt>
                <c:pt idx="31">
                  <c:v>-1.8192224304822237E-2</c:v>
                </c:pt>
                <c:pt idx="32">
                  <c:v>-1.7722470846340557E-2</c:v>
                </c:pt>
                <c:pt idx="33">
                  <c:v>-1.7214090445649508E-2</c:v>
                </c:pt>
                <c:pt idx="34">
                  <c:v>-1.7205368232892555E-2</c:v>
                </c:pt>
                <c:pt idx="35">
                  <c:v>-1.7199761096120227E-2</c:v>
                </c:pt>
                <c:pt idx="36">
                  <c:v>-1.6695741801807655E-2</c:v>
                </c:pt>
                <c:pt idx="37">
                  <c:v>-1.526218383368253E-2</c:v>
                </c:pt>
                <c:pt idx="38">
                  <c:v>-1.5164370447765257E-2</c:v>
                </c:pt>
                <c:pt idx="39">
                  <c:v>-1.5163124417371407E-2</c:v>
                </c:pt>
                <c:pt idx="40">
                  <c:v>-1.4687140806920474E-2</c:v>
                </c:pt>
                <c:pt idx="41">
                  <c:v>-1.4193712770955632E-2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87-424D-88A8-14B65980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14104"/>
        <c:axId val="768614464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2'!$P$20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2'!$F$21:$F$930</c15:sqref>
                        </c15:formulaRef>
                      </c:ext>
                    </c:extLst>
                    <c:numCache>
                      <c:formatCode>General</c:formatCode>
                      <c:ptCount val="910"/>
                      <c:pt idx="0">
                        <c:v>0</c:v>
                      </c:pt>
                      <c:pt idx="1">
                        <c:v>3139</c:v>
                      </c:pt>
                      <c:pt idx="2">
                        <c:v>3817</c:v>
                      </c:pt>
                      <c:pt idx="3">
                        <c:v>3818</c:v>
                      </c:pt>
                      <c:pt idx="4">
                        <c:v>3827</c:v>
                      </c:pt>
                      <c:pt idx="5">
                        <c:v>4076</c:v>
                      </c:pt>
                      <c:pt idx="6">
                        <c:v>4114</c:v>
                      </c:pt>
                      <c:pt idx="7">
                        <c:v>4129.5</c:v>
                      </c:pt>
                      <c:pt idx="8">
                        <c:v>4153</c:v>
                      </c:pt>
                      <c:pt idx="9">
                        <c:v>4203</c:v>
                      </c:pt>
                      <c:pt idx="10">
                        <c:v>4212</c:v>
                      </c:pt>
                      <c:pt idx="11">
                        <c:v>4213</c:v>
                      </c:pt>
                      <c:pt idx="12">
                        <c:v>4271</c:v>
                      </c:pt>
                      <c:pt idx="13">
                        <c:v>4579</c:v>
                      </c:pt>
                      <c:pt idx="14">
                        <c:v>4626</c:v>
                      </c:pt>
                      <c:pt idx="15">
                        <c:v>4642.5</c:v>
                      </c:pt>
                      <c:pt idx="16">
                        <c:v>5003</c:v>
                      </c:pt>
                      <c:pt idx="17">
                        <c:v>5003</c:v>
                      </c:pt>
                      <c:pt idx="18">
                        <c:v>5003</c:v>
                      </c:pt>
                      <c:pt idx="19">
                        <c:v>5037.5</c:v>
                      </c:pt>
                      <c:pt idx="20">
                        <c:v>5037.5</c:v>
                      </c:pt>
                      <c:pt idx="21">
                        <c:v>5450</c:v>
                      </c:pt>
                      <c:pt idx="22">
                        <c:v>5799</c:v>
                      </c:pt>
                      <c:pt idx="23">
                        <c:v>5857.5</c:v>
                      </c:pt>
                      <c:pt idx="24">
                        <c:v>6658</c:v>
                      </c:pt>
                      <c:pt idx="25">
                        <c:v>6672</c:v>
                      </c:pt>
                      <c:pt idx="26">
                        <c:v>7014</c:v>
                      </c:pt>
                      <c:pt idx="27">
                        <c:v>7024</c:v>
                      </c:pt>
                      <c:pt idx="28">
                        <c:v>7449</c:v>
                      </c:pt>
                      <c:pt idx="29">
                        <c:v>8183</c:v>
                      </c:pt>
                      <c:pt idx="30">
                        <c:v>8253.5</c:v>
                      </c:pt>
                      <c:pt idx="31">
                        <c:v>8300</c:v>
                      </c:pt>
                      <c:pt idx="32">
                        <c:v>8677</c:v>
                      </c:pt>
                      <c:pt idx="33">
                        <c:v>9085</c:v>
                      </c:pt>
                      <c:pt idx="34">
                        <c:v>9092</c:v>
                      </c:pt>
                      <c:pt idx="35">
                        <c:v>9096.5</c:v>
                      </c:pt>
                      <c:pt idx="36">
                        <c:v>9501</c:v>
                      </c:pt>
                      <c:pt idx="37">
                        <c:v>10651.5</c:v>
                      </c:pt>
                      <c:pt idx="38">
                        <c:v>10730</c:v>
                      </c:pt>
                      <c:pt idx="39">
                        <c:v>10731</c:v>
                      </c:pt>
                      <c:pt idx="40">
                        <c:v>11113</c:v>
                      </c:pt>
                      <c:pt idx="41">
                        <c:v>11509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2'!$P$21:$P$930</c15:sqref>
                        </c15:formulaRef>
                      </c:ext>
                    </c:extLst>
                    <c:numCache>
                      <c:formatCode>General</c:formatCode>
                      <c:ptCount val="910"/>
                      <c:pt idx="0">
                        <c:v>1.5662974393329033E-3</c:v>
                      </c:pt>
                      <c:pt idx="1">
                        <c:v>-1.2669072591327268E-4</c:v>
                      </c:pt>
                      <c:pt idx="2">
                        <c:v>1.0059423985542965E-3</c:v>
                      </c:pt>
                      <c:pt idx="3">
                        <c:v>1.0080060627219688E-3</c:v>
                      </c:pt>
                      <c:pt idx="4">
                        <c:v>1.0266311466305758E-3</c:v>
                      </c:pt>
                      <c:pt idx="5">
                        <c:v>1.5791186827670452E-3</c:v>
                      </c:pt>
                      <c:pt idx="6">
                        <c:v>1.6697481874330192E-3</c:v>
                      </c:pt>
                      <c:pt idx="7">
                        <c:v>1.7071955879647271E-3</c:v>
                      </c:pt>
                      <c:pt idx="8">
                        <c:v>1.7645012959288525E-3</c:v>
                      </c:pt>
                      <c:pt idx="9">
                        <c:v>1.8885560121319981E-3</c:v>
                      </c:pt>
                      <c:pt idx="10">
                        <c:v>1.9111932888059065E-3</c:v>
                      </c:pt>
                      <c:pt idx="11">
                        <c:v>1.9137143313696231E-3</c:v>
                      </c:pt>
                      <c:pt idx="12">
                        <c:v>2.0619160011680956E-3</c:v>
                      </c:pt>
                      <c:pt idx="13">
                        <c:v>2.914182974137593E-3</c:v>
                      </c:pt>
                      <c:pt idx="14">
                        <c:v>3.0538966480487418E-3</c:v>
                      </c:pt>
                      <c:pt idx="15">
                        <c:v>3.1035516708203901E-3</c:v>
                      </c:pt>
                      <c:pt idx="16">
                        <c:v>4.2671242679773423E-3</c:v>
                      </c:pt>
                      <c:pt idx="17">
                        <c:v>4.2671242679773423E-3</c:v>
                      </c:pt>
                      <c:pt idx="18">
                        <c:v>4.2671242679773423E-3</c:v>
                      </c:pt>
                      <c:pt idx="19">
                        <c:v>4.3863684270065081E-3</c:v>
                      </c:pt>
                      <c:pt idx="20">
                        <c:v>4.3863684270065081E-3</c:v>
                      </c:pt>
                      <c:pt idx="21">
                        <c:v>5.9188667927798106E-3</c:v>
                      </c:pt>
                      <c:pt idx="22">
                        <c:v>7.3693197235420987E-3</c:v>
                      </c:pt>
                      <c:pt idx="23">
                        <c:v>7.6262489031129702E-3</c:v>
                      </c:pt>
                      <c:pt idx="24">
                        <c:v>1.1540116280912593E-2</c:v>
                      </c:pt>
                      <c:pt idx="25">
                        <c:v>1.1615168059660784E-2</c:v>
                      </c:pt>
                      <c:pt idx="26">
                        <c:v>1.3519065334962681E-2</c:v>
                      </c:pt>
                      <c:pt idx="27">
                        <c:v>1.3576772785118792E-2</c:v>
                      </c:pt>
                      <c:pt idx="28">
                        <c:v>1.613637464582791E-2</c:v>
                      </c:pt>
                      <c:pt idx="29">
                        <c:v>2.1049482365588137E-2</c:v>
                      </c:pt>
                      <c:pt idx="30">
                        <c:v>2.1554218695322036E-2</c:v>
                      </c:pt>
                      <c:pt idx="31">
                        <c:v>2.1890279723382259E-2</c:v>
                      </c:pt>
                      <c:pt idx="32">
                        <c:v>2.4707340005599647E-2</c:v>
                      </c:pt>
                      <c:pt idx="33">
                        <c:v>2.7941471156681035E-2</c:v>
                      </c:pt>
                      <c:pt idx="34">
                        <c:v>2.7998640579725235E-2</c:v>
                      </c:pt>
                      <c:pt idx="35">
                        <c:v>2.8035422312861966E-2</c:v>
                      </c:pt>
                      <c:pt idx="36">
                        <c:v>3.1437474866981702E-2</c:v>
                      </c:pt>
                      <c:pt idx="37">
                        <c:v>4.214954555567757E-2</c:v>
                      </c:pt>
                      <c:pt idx="38">
                        <c:v>4.2936299068176531E-2</c:v>
                      </c:pt>
                      <c:pt idx="39">
                        <c:v>4.2946367433234961E-2</c:v>
                      </c:pt>
                      <c:pt idx="40">
                        <c:v>4.6877188206587275E-2</c:v>
                      </c:pt>
                      <c:pt idx="41">
                        <c:v>5.1130441101188244E-2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987-424D-88A8-14B65980393E}"/>
                  </c:ext>
                </c:extLst>
              </c15:ser>
            </c15:filteredScatterSeries>
          </c:ext>
        </c:extLst>
      </c:scatterChart>
      <c:valAx>
        <c:axId val="76861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14464"/>
        <c:crosses val="autoZero"/>
        <c:crossBetween val="midCat"/>
        <c:majorUnit val="1000"/>
        <c:minorUnit val="200"/>
      </c:valAx>
      <c:valAx>
        <c:axId val="7686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14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142875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852BFFC-E927-BF4C-9443-D5F83AC0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200025</xdr:colOff>
      <xdr:row>18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76747D-5E9A-6D79-A832-2DC4C7A0B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solj.cetus-net.org/no48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107.pdf" TargetMode="External"/><Relationship Id="rId27" Type="http://schemas.openxmlformats.org/officeDocument/2006/relationships/hyperlink" Target="http://www.konkoly.hu/cgi-bin/IBVS?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.42578125" customWidth="1"/>
    <col min="4" max="4" width="9.42578125" customWidth="1"/>
    <col min="5" max="5" width="11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.95" customHeight="1" thickBot="1" x14ac:dyDescent="0.35">
      <c r="A1" s="1" t="s">
        <v>35</v>
      </c>
      <c r="V1" s="3" t="s">
        <v>11</v>
      </c>
      <c r="W1" s="4" t="s">
        <v>22</v>
      </c>
    </row>
    <row r="2" spans="1:23" s="27" customFormat="1" ht="12.95" customHeight="1" x14ac:dyDescent="0.2">
      <c r="A2" s="27" t="s">
        <v>24</v>
      </c>
      <c r="B2" s="27" t="s">
        <v>36</v>
      </c>
      <c r="C2" s="28"/>
      <c r="D2" s="90"/>
      <c r="E2" s="92" t="s">
        <v>182</v>
      </c>
      <c r="F2" s="93" t="s">
        <v>180</v>
      </c>
      <c r="V2" s="29">
        <v>-500</v>
      </c>
      <c r="W2" s="29">
        <f t="shared" ref="W2:W20" si="0">+D$11+D$12*V2+D$13*V2^2</f>
        <v>2.8893851351291188E-3</v>
      </c>
    </row>
    <row r="3" spans="1:23" s="27" customFormat="1" ht="12.95" customHeight="1" thickBot="1" x14ac:dyDescent="0.25">
      <c r="E3" s="94" t="s">
        <v>47</v>
      </c>
      <c r="F3" s="95">
        <v>1</v>
      </c>
      <c r="V3" s="29">
        <v>0</v>
      </c>
      <c r="W3" s="29">
        <f t="shared" si="0"/>
        <v>1.5662974393329033E-3</v>
      </c>
    </row>
    <row r="4" spans="1:23" s="27" customFormat="1" ht="12.95" customHeight="1" thickTop="1" thickBot="1" x14ac:dyDescent="0.25">
      <c r="A4" s="30" t="s">
        <v>34</v>
      </c>
      <c r="C4" s="31">
        <v>52500.767800000001</v>
      </c>
      <c r="D4" s="91">
        <v>0.89629650000000005</v>
      </c>
      <c r="E4" s="94" t="s">
        <v>31</v>
      </c>
      <c r="F4" s="96">
        <f ca="1">NOW()+15018.5+$C$5/24</f>
        <v>60518.739535300927</v>
      </c>
      <c r="V4" s="29">
        <v>500</v>
      </c>
      <c r="W4" s="29">
        <f t="shared" si="0"/>
        <v>5.3268974103303597E-4</v>
      </c>
    </row>
    <row r="5" spans="1:23" s="27" customFormat="1" ht="12.95" customHeight="1" thickTop="1" x14ac:dyDescent="0.2">
      <c r="A5" s="33" t="s">
        <v>29</v>
      </c>
      <c r="C5" s="34">
        <v>-9.5</v>
      </c>
      <c r="E5" s="94" t="s">
        <v>48</v>
      </c>
      <c r="F5" s="96">
        <f ca="1">ROUND(2*($F$4-$C$7)/$C$8,0)/2+$F$3</f>
        <v>8946.5</v>
      </c>
      <c r="V5" s="29">
        <v>1000</v>
      </c>
      <c r="W5" s="29">
        <f t="shared" si="0"/>
        <v>-2.1143795977048333E-4</v>
      </c>
    </row>
    <row r="6" spans="1:23" s="27" customFormat="1" ht="12.95" customHeight="1" x14ac:dyDescent="0.2">
      <c r="A6" s="30" t="s">
        <v>3</v>
      </c>
      <c r="E6" s="94" t="s">
        <v>32</v>
      </c>
      <c r="F6" s="96">
        <f ca="1">ROUND(2*($F$4-$C$15)/$C$16,0)/2+$F$3</f>
        <v>576.5</v>
      </c>
      <c r="V6" s="29">
        <v>1500</v>
      </c>
      <c r="W6" s="29">
        <f t="shared" si="0"/>
        <v>-6.6608566307765492E-4</v>
      </c>
    </row>
    <row r="7" spans="1:23" s="27" customFormat="1" ht="12.95" customHeight="1" x14ac:dyDescent="0.2">
      <c r="A7" s="27" t="s">
        <v>4</v>
      </c>
      <c r="C7" s="27">
        <v>52500.767800000001</v>
      </c>
      <c r="D7" s="27" t="s">
        <v>37</v>
      </c>
      <c r="E7" s="94" t="s">
        <v>183</v>
      </c>
      <c r="F7" s="97">
        <f ca="1">+$C$15+$C$16*$F$6-15018.5-$C$5/24</f>
        <v>45501.399887494968</v>
      </c>
      <c r="V7" s="29">
        <v>2000</v>
      </c>
      <c r="W7" s="29">
        <f t="shared" si="0"/>
        <v>-8.312533688884776E-4</v>
      </c>
    </row>
    <row r="8" spans="1:23" s="27" customFormat="1" ht="12.95" customHeight="1" x14ac:dyDescent="0.2">
      <c r="A8" s="27" t="s">
        <v>5</v>
      </c>
      <c r="C8" s="27">
        <v>0.89629650000000005</v>
      </c>
      <c r="D8" s="27" t="s">
        <v>37</v>
      </c>
      <c r="E8" s="98" t="s">
        <v>184</v>
      </c>
      <c r="F8" s="99">
        <f ca="1">+($C$15+$C$16*$F$6)-($C$16/2)-15018.5-$C$5/24</f>
        <v>45500.951737380114</v>
      </c>
      <c r="V8" s="29">
        <v>2500</v>
      </c>
      <c r="W8" s="29">
        <f t="shared" si="0"/>
        <v>-7.0694107720295366E-4</v>
      </c>
    </row>
    <row r="9" spans="1:23" s="27" customFormat="1" ht="12.95" customHeight="1" x14ac:dyDescent="0.2">
      <c r="A9" s="35" t="s">
        <v>33</v>
      </c>
      <c r="C9" s="87">
        <v>46</v>
      </c>
      <c r="D9" s="36" t="str">
        <f>"F"&amp;C9</f>
        <v>F46</v>
      </c>
      <c r="E9" s="37" t="str">
        <f>"G"&amp;C9</f>
        <v>G46</v>
      </c>
      <c r="V9" s="29">
        <v>3000</v>
      </c>
      <c r="W9" s="29">
        <f t="shared" si="0"/>
        <v>-2.9314878802107983E-4</v>
      </c>
    </row>
    <row r="10" spans="1:23" s="27" customFormat="1" ht="12.95" customHeight="1" thickBot="1" x14ac:dyDescent="0.25">
      <c r="C10" s="38" t="s">
        <v>20</v>
      </c>
      <c r="D10" s="38" t="s">
        <v>21</v>
      </c>
      <c r="V10" s="29">
        <v>3500</v>
      </c>
      <c r="W10" s="29">
        <f t="shared" si="0"/>
        <v>4.1012349865714084E-4</v>
      </c>
    </row>
    <row r="11" spans="1:23" s="27" customFormat="1" ht="12.95" customHeight="1" x14ac:dyDescent="0.2">
      <c r="A11" s="27" t="s">
        <v>16</v>
      </c>
      <c r="C11" s="37">
        <f ca="1">INTERCEPT(INDIRECT($E$9):G974,INDIRECT($D$9):F974)</f>
        <v>-1.3750891073264389E-2</v>
      </c>
      <c r="D11" s="28">
        <f>+E11*F11</f>
        <v>1.5662974393329033E-3</v>
      </c>
      <c r="E11" s="39">
        <v>1.5662974393329033E-3</v>
      </c>
      <c r="F11" s="27">
        <v>1</v>
      </c>
      <c r="V11" s="29">
        <v>4000</v>
      </c>
      <c r="W11" s="29">
        <f t="shared" si="0"/>
        <v>1.4028757828317105E-3</v>
      </c>
    </row>
    <row r="12" spans="1:23" s="27" customFormat="1" ht="12.95" customHeight="1" x14ac:dyDescent="0.2">
      <c r="A12" s="27" t="s">
        <v>17</v>
      </c>
      <c r="C12" s="37">
        <f ca="1">SLOPE(INDIRECT($E$9):G974,INDIRECT($D$9):F974)</f>
        <v>3.7297046554436434E-6</v>
      </c>
      <c r="D12" s="28">
        <f>+E12*F12</f>
        <v>-2.356695394096083E-6</v>
      </c>
      <c r="E12" s="40">
        <v>-2.3566953940960828E-2</v>
      </c>
      <c r="F12" s="41">
        <v>1E-4</v>
      </c>
      <c r="V12" s="29">
        <v>4500</v>
      </c>
      <c r="W12" s="29">
        <f t="shared" si="0"/>
        <v>2.6851080645026275E-3</v>
      </c>
    </row>
    <row r="13" spans="1:23" s="27" customFormat="1" ht="12.95" customHeight="1" thickBot="1" x14ac:dyDescent="0.25">
      <c r="A13" s="27" t="s">
        <v>19</v>
      </c>
      <c r="C13" s="28" t="s">
        <v>14</v>
      </c>
      <c r="D13" s="28">
        <f>+E13*F13</f>
        <v>5.7895999499269622E-10</v>
      </c>
      <c r="E13" s="42">
        <v>5.7895999499269615E-2</v>
      </c>
      <c r="F13" s="41">
        <v>1E-8</v>
      </c>
      <c r="V13" s="29">
        <v>5000</v>
      </c>
      <c r="W13" s="29">
        <f t="shared" si="0"/>
        <v>4.2568203436698926E-3</v>
      </c>
    </row>
    <row r="14" spans="1:23" s="27" customFormat="1" ht="12.95" customHeight="1" x14ac:dyDescent="0.2">
      <c r="E14" s="27">
        <f>SUM(T21:T933)</f>
        <v>1.4454117774525681E-4</v>
      </c>
      <c r="V14" s="29">
        <v>5500</v>
      </c>
      <c r="W14" s="29">
        <f t="shared" si="0"/>
        <v>6.1180126203335076E-3</v>
      </c>
    </row>
    <row r="15" spans="1:23" s="27" customFormat="1" ht="12.95" customHeight="1" x14ac:dyDescent="0.2">
      <c r="A15" s="43" t="s">
        <v>18</v>
      </c>
      <c r="C15" s="44">
        <f ca="1">(C7+C11)+(C8+C12)*INT(MAX(F21:F3515))</f>
        <v>60002.786971736896</v>
      </c>
      <c r="D15" s="37">
        <f>+C7+INT(MAX(F21:F1571))*C8+D11+D12*INT(MAX(F21:F4006))+D13*INT(MAX(F21:F4033)^2)</f>
        <v>60002.791905899467</v>
      </c>
      <c r="E15" s="89"/>
      <c r="F15" s="34"/>
      <c r="V15" s="29">
        <v>6000</v>
      </c>
      <c r="W15" s="29">
        <f t="shared" si="0"/>
        <v>8.2686848944934672E-3</v>
      </c>
    </row>
    <row r="16" spans="1:23" s="27" customFormat="1" ht="12.95" customHeight="1" x14ac:dyDescent="0.2">
      <c r="A16" s="30" t="s">
        <v>6</v>
      </c>
      <c r="C16" s="46">
        <f ca="1">+C8+C12</f>
        <v>0.8963002297046555</v>
      </c>
      <c r="D16" s="37">
        <f>+C8+D12+2*D13*MAX(F21:F879)</f>
        <v>0.89630383509492217</v>
      </c>
      <c r="E16" s="89"/>
      <c r="F16" s="47"/>
      <c r="V16" s="48">
        <v>6500</v>
      </c>
      <c r="W16" s="48">
        <f t="shared" si="0"/>
        <v>1.070883716614978E-2</v>
      </c>
    </row>
    <row r="17" spans="1:23" s="27" customFormat="1" ht="12.95" customHeight="1" thickBot="1" x14ac:dyDescent="0.25">
      <c r="A17" s="45" t="s">
        <v>28</v>
      </c>
      <c r="C17" s="27">
        <f>COUNT(C21:C2173)</f>
        <v>41</v>
      </c>
      <c r="E17" s="89"/>
      <c r="F17" s="47"/>
      <c r="V17" s="48">
        <v>7000</v>
      </c>
      <c r="W17" s="48">
        <f t="shared" si="0"/>
        <v>1.3438469435302436E-2</v>
      </c>
    </row>
    <row r="18" spans="1:23" s="27" customFormat="1" ht="12.95" customHeight="1" thickTop="1" thickBot="1" x14ac:dyDescent="0.25">
      <c r="A18" s="30" t="s">
        <v>53</v>
      </c>
      <c r="C18" s="49">
        <f ca="1">+C15</f>
        <v>60002.786971736896</v>
      </c>
      <c r="D18" s="50">
        <f ca="1">C16</f>
        <v>0.8963002297046555</v>
      </c>
      <c r="E18" s="89"/>
      <c r="F18" s="37"/>
      <c r="V18" s="48">
        <v>7500</v>
      </c>
      <c r="W18" s="48">
        <f t="shared" si="0"/>
        <v>1.6457581701951447E-2</v>
      </c>
    </row>
    <row r="19" spans="1:23" s="27" customFormat="1" ht="12.95" customHeight="1" thickBot="1" x14ac:dyDescent="0.25">
      <c r="A19" s="30" t="s">
        <v>54</v>
      </c>
      <c r="C19" s="51">
        <f>+D15</f>
        <v>60002.791905899467</v>
      </c>
      <c r="D19" s="52">
        <f>+D16</f>
        <v>0.89630383509492217</v>
      </c>
      <c r="E19" s="89"/>
      <c r="F19" s="53"/>
      <c r="V19" s="48">
        <v>8000</v>
      </c>
      <c r="W19" s="48">
        <f t="shared" si="0"/>
        <v>1.9766173966096798E-2</v>
      </c>
    </row>
    <row r="20" spans="1:23" s="27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54" t="s">
        <v>66</v>
      </c>
      <c r="I20" s="54" t="s">
        <v>69</v>
      </c>
      <c r="J20" s="54" t="s">
        <v>63</v>
      </c>
      <c r="K20" s="54" t="s">
        <v>61</v>
      </c>
      <c r="L20" s="54" t="s">
        <v>25</v>
      </c>
      <c r="M20" s="54" t="s">
        <v>26</v>
      </c>
      <c r="N20" s="54" t="s">
        <v>27</v>
      </c>
      <c r="O20" s="54" t="s">
        <v>23</v>
      </c>
      <c r="P20" s="55" t="s">
        <v>22</v>
      </c>
      <c r="Q20" s="38" t="s">
        <v>15</v>
      </c>
      <c r="R20" s="54" t="s">
        <v>55</v>
      </c>
      <c r="S20" s="56" t="s">
        <v>56</v>
      </c>
      <c r="T20" s="54" t="s">
        <v>57</v>
      </c>
      <c r="V20" s="27">
        <v>8500</v>
      </c>
      <c r="W20" s="27">
        <f t="shared" si="0"/>
        <v>2.3364246227738496E-2</v>
      </c>
    </row>
    <row r="21" spans="1:23" s="27" customFormat="1" ht="12.95" customHeight="1" x14ac:dyDescent="0.2">
      <c r="A21" s="27" t="s">
        <v>37</v>
      </c>
      <c r="B21" s="28"/>
      <c r="C21" s="57">
        <v>52500.767800000001</v>
      </c>
      <c r="D21" s="57" t="s">
        <v>14</v>
      </c>
      <c r="E21" s="27">
        <f t="shared" ref="E21:E61" si="1">+(C21-C$7)/C$8</f>
        <v>0</v>
      </c>
      <c r="F21" s="27">
        <f t="shared" ref="F21:F61" si="2">ROUND(2*E21,0)/2</f>
        <v>0</v>
      </c>
      <c r="G21" s="27">
        <f t="shared" ref="G21:G61" si="3">+C21-(C$7+F21*C$8)</f>
        <v>0</v>
      </c>
      <c r="K21" s="27">
        <f>+G21</f>
        <v>0</v>
      </c>
      <c r="O21" s="29"/>
      <c r="P21" s="35">
        <f t="shared" ref="P21:P61" si="4">+D$11+D$12*F21+D$13*F21^2</f>
        <v>1.5662974393329033E-3</v>
      </c>
      <c r="Q21" s="58">
        <f t="shared" ref="Q21:Q61" si="5">+C21-15018.5</f>
        <v>37482.267800000001</v>
      </c>
      <c r="R21" s="29">
        <f t="shared" ref="R21:R61" si="6">+(P21-G21)^2</f>
        <v>2.4532876684608101E-6</v>
      </c>
      <c r="S21" s="29">
        <v>1</v>
      </c>
      <c r="T21" s="29">
        <f t="shared" ref="T21:T61" si="7">+S21*R21</f>
        <v>2.4532876684608101E-6</v>
      </c>
    </row>
    <row r="22" spans="1:23" s="27" customFormat="1" ht="12.95" customHeight="1" x14ac:dyDescent="0.2">
      <c r="A22" s="7" t="s">
        <v>40</v>
      </c>
      <c r="B22" s="8" t="s">
        <v>39</v>
      </c>
      <c r="C22" s="7">
        <v>53108.455600000001</v>
      </c>
      <c r="D22" s="7" t="s">
        <v>41</v>
      </c>
      <c r="E22" s="27">
        <f t="shared" si="1"/>
        <v>677.99863103336861</v>
      </c>
      <c r="F22" s="27">
        <f t="shared" si="2"/>
        <v>678</v>
      </c>
      <c r="G22" s="27">
        <f t="shared" si="3"/>
        <v>-1.2270000006537884E-3</v>
      </c>
      <c r="K22" s="27">
        <f>+G22</f>
        <v>-1.2270000006537884E-3</v>
      </c>
      <c r="P22" s="35">
        <f t="shared" si="4"/>
        <v>2.3459660847398165E-4</v>
      </c>
      <c r="Q22" s="59">
        <f t="shared" si="5"/>
        <v>38089.955600000001</v>
      </c>
      <c r="R22" s="29">
        <f t="shared" si="6"/>
        <v>2.1362646478137953E-6</v>
      </c>
      <c r="S22" s="29">
        <v>1</v>
      </c>
      <c r="T22" s="29">
        <f t="shared" si="7"/>
        <v>2.1362646478137953E-6</v>
      </c>
    </row>
    <row r="23" spans="1:23" s="27" customFormat="1" ht="12.95" customHeight="1" x14ac:dyDescent="0.2">
      <c r="A23" s="7" t="s">
        <v>40</v>
      </c>
      <c r="B23" s="8" t="s">
        <v>39</v>
      </c>
      <c r="C23" s="7">
        <v>53109.354180000002</v>
      </c>
      <c r="D23" s="7" t="s">
        <v>41</v>
      </c>
      <c r="E23" s="27">
        <f t="shared" si="1"/>
        <v>679.00117873940223</v>
      </c>
      <c r="F23" s="27">
        <f t="shared" si="2"/>
        <v>679</v>
      </c>
      <c r="G23" s="27">
        <f t="shared" si="3"/>
        <v>1.0564999975031242E-3</v>
      </c>
      <c r="K23" s="27">
        <f>+G23</f>
        <v>1.0564999975031242E-3</v>
      </c>
      <c r="P23" s="35">
        <f t="shared" si="4"/>
        <v>2.3302556179309049E-4</v>
      </c>
      <c r="Q23" s="59">
        <f t="shared" si="5"/>
        <v>38090.854180000002</v>
      </c>
      <c r="R23" s="29">
        <f t="shared" si="6"/>
        <v>6.7811014626795832E-7</v>
      </c>
      <c r="S23" s="29">
        <v>1</v>
      </c>
      <c r="T23" s="29">
        <f t="shared" si="7"/>
        <v>6.7811014626795832E-7</v>
      </c>
    </row>
    <row r="24" spans="1:23" s="27" customFormat="1" ht="12.95" customHeight="1" x14ac:dyDescent="0.2">
      <c r="A24" s="7" t="s">
        <v>40</v>
      </c>
      <c r="B24" s="8" t="s">
        <v>39</v>
      </c>
      <c r="C24" s="7">
        <v>53117.418449999997</v>
      </c>
      <c r="D24" s="7" t="s">
        <v>41</v>
      </c>
      <c r="E24" s="27">
        <f t="shared" si="1"/>
        <v>687.99850272760841</v>
      </c>
      <c r="F24" s="27">
        <f t="shared" si="2"/>
        <v>688</v>
      </c>
      <c r="G24" s="27">
        <f t="shared" si="3"/>
        <v>-1.3420000032056123E-3</v>
      </c>
      <c r="K24" s="27">
        <f>+G24</f>
        <v>-1.3420000032056123E-3</v>
      </c>
      <c r="P24" s="35">
        <f t="shared" si="4"/>
        <v>2.1893824806462094E-4</v>
      </c>
      <c r="Q24" s="59">
        <f t="shared" si="5"/>
        <v>38098.918449999997</v>
      </c>
      <c r="R24" s="29">
        <f t="shared" si="6"/>
        <v>2.4365282242785741E-6</v>
      </c>
      <c r="S24" s="29">
        <v>1</v>
      </c>
      <c r="T24" s="29">
        <f t="shared" si="7"/>
        <v>2.4365282242785741E-6</v>
      </c>
    </row>
    <row r="25" spans="1:23" s="27" customFormat="1" ht="12.95" customHeight="1" x14ac:dyDescent="0.2">
      <c r="A25" s="7" t="s">
        <v>40</v>
      </c>
      <c r="B25" s="8" t="s">
        <v>39</v>
      </c>
      <c r="C25" s="7">
        <v>53340.596510000003</v>
      </c>
      <c r="D25" s="7" t="s">
        <v>42</v>
      </c>
      <c r="E25" s="27">
        <f t="shared" si="1"/>
        <v>936.99876101268001</v>
      </c>
      <c r="F25" s="27">
        <f t="shared" si="2"/>
        <v>937</v>
      </c>
      <c r="G25" s="27">
        <f t="shared" si="3"/>
        <v>-1.1105000012321398E-3</v>
      </c>
      <c r="K25" s="27">
        <f>+G25</f>
        <v>-1.1105000012321398E-3</v>
      </c>
      <c r="P25" s="35">
        <f t="shared" si="4"/>
        <v>-1.3361721709138398E-4</v>
      </c>
      <c r="Q25" s="59">
        <f t="shared" si="5"/>
        <v>38322.096510000003</v>
      </c>
      <c r="R25" s="29">
        <f t="shared" si="6"/>
        <v>9.5429997395059471E-7</v>
      </c>
      <c r="S25" s="29">
        <v>1</v>
      </c>
      <c r="T25" s="29">
        <f t="shared" si="7"/>
        <v>9.5429997395059471E-7</v>
      </c>
    </row>
    <row r="26" spans="1:23" s="27" customFormat="1" ht="12.95" customHeight="1" x14ac:dyDescent="0.2">
      <c r="A26" s="60" t="s">
        <v>46</v>
      </c>
      <c r="B26" s="8" t="s">
        <v>39</v>
      </c>
      <c r="C26" s="7">
        <v>53374.665000000001</v>
      </c>
      <c r="D26" s="7">
        <v>5.0000000000000001E-3</v>
      </c>
      <c r="E26" s="27">
        <f t="shared" si="1"/>
        <v>975.00905113430588</v>
      </c>
      <c r="F26" s="27">
        <f t="shared" si="2"/>
        <v>975</v>
      </c>
      <c r="G26" s="27">
        <f t="shared" si="3"/>
        <v>8.1124999996973202E-3</v>
      </c>
      <c r="I26" s="27">
        <f>+G26</f>
        <v>8.1124999996973202E-3</v>
      </c>
      <c r="P26" s="35">
        <f t="shared" si="4"/>
        <v>-1.8110672467084568E-4</v>
      </c>
      <c r="Q26" s="59">
        <f t="shared" si="5"/>
        <v>38356.165000000001</v>
      </c>
      <c r="R26" s="29">
        <f t="shared" si="6"/>
        <v>6.8783912498484863E-5</v>
      </c>
      <c r="S26" s="29">
        <v>0.1</v>
      </c>
      <c r="T26" s="29">
        <f t="shared" si="7"/>
        <v>6.8783912498484864E-6</v>
      </c>
    </row>
    <row r="27" spans="1:23" s="27" customFormat="1" ht="12.95" customHeight="1" x14ac:dyDescent="0.2">
      <c r="A27" s="7" t="s">
        <v>40</v>
      </c>
      <c r="B27" s="8" t="s">
        <v>43</v>
      </c>
      <c r="C27" s="7">
        <v>53388.548849999999</v>
      </c>
      <c r="D27" s="7" t="s">
        <v>42</v>
      </c>
      <c r="E27" s="27">
        <f t="shared" si="1"/>
        <v>990.49929348156297</v>
      </c>
      <c r="F27" s="27">
        <f t="shared" si="2"/>
        <v>990.5</v>
      </c>
      <c r="G27" s="27">
        <f t="shared" si="3"/>
        <v>-6.33250005193986E-4</v>
      </c>
      <c r="K27" s="27">
        <f t="shared" ref="K27:K44" si="8">+G27</f>
        <v>-6.33250005193986E-4</v>
      </c>
      <c r="P27" s="35">
        <f t="shared" si="4"/>
        <v>-1.9999734229188379E-4</v>
      </c>
      <c r="Q27" s="59">
        <f t="shared" si="5"/>
        <v>38370.048849999999</v>
      </c>
      <c r="R27" s="29">
        <f t="shared" si="6"/>
        <v>1.877078699117626E-7</v>
      </c>
      <c r="S27" s="29">
        <v>1</v>
      </c>
      <c r="T27" s="29">
        <f t="shared" si="7"/>
        <v>1.877078699117626E-7</v>
      </c>
    </row>
    <row r="28" spans="1:23" s="27" customFormat="1" ht="12.95" customHeight="1" x14ac:dyDescent="0.2">
      <c r="A28" s="7" t="s">
        <v>40</v>
      </c>
      <c r="B28" s="8" t="s">
        <v>39</v>
      </c>
      <c r="C28" s="7">
        <v>53409.61148</v>
      </c>
      <c r="D28" s="7" t="s">
        <v>42</v>
      </c>
      <c r="E28" s="27">
        <f t="shared" si="1"/>
        <v>1013.9989166531367</v>
      </c>
      <c r="F28" s="27">
        <f t="shared" si="2"/>
        <v>1014</v>
      </c>
      <c r="G28" s="27">
        <f t="shared" si="3"/>
        <v>-9.7100000130012631E-4</v>
      </c>
      <c r="K28" s="27">
        <f t="shared" si="8"/>
        <v>-9.7100000130012631E-4</v>
      </c>
      <c r="P28" s="35">
        <f t="shared" si="4"/>
        <v>-2.2810733926901443E-4</v>
      </c>
      <c r="Q28" s="59">
        <f t="shared" si="5"/>
        <v>38391.11148</v>
      </c>
      <c r="R28" s="29">
        <f t="shared" si="6"/>
        <v>5.518895072996718E-7</v>
      </c>
      <c r="S28" s="29">
        <v>1</v>
      </c>
      <c r="T28" s="29">
        <f t="shared" si="7"/>
        <v>5.518895072996718E-7</v>
      </c>
    </row>
    <row r="29" spans="1:23" s="27" customFormat="1" ht="12.95" customHeight="1" x14ac:dyDescent="0.2">
      <c r="A29" s="7" t="s">
        <v>40</v>
      </c>
      <c r="B29" s="8" t="s">
        <v>39</v>
      </c>
      <c r="C29" s="7">
        <v>53454.426789999998</v>
      </c>
      <c r="D29" s="7" t="s">
        <v>44</v>
      </c>
      <c r="E29" s="27">
        <f t="shared" si="1"/>
        <v>1063.9994577687141</v>
      </c>
      <c r="F29" s="27">
        <f t="shared" si="2"/>
        <v>1064</v>
      </c>
      <c r="G29" s="27">
        <f t="shared" si="3"/>
        <v>-4.8600000445730984E-4</v>
      </c>
      <c r="K29" s="27">
        <f t="shared" si="8"/>
        <v>-4.8600000445730984E-4</v>
      </c>
      <c r="P29" s="35">
        <f t="shared" si="4"/>
        <v>-2.8578816549407779E-4</v>
      </c>
      <c r="Q29" s="59">
        <f t="shared" si="5"/>
        <v>38435.926789999998</v>
      </c>
      <c r="R29" s="29">
        <f t="shared" si="6"/>
        <v>4.0084780461039167E-8</v>
      </c>
      <c r="S29" s="29">
        <v>1</v>
      </c>
      <c r="T29" s="29">
        <f t="shared" si="7"/>
        <v>4.0084780461039167E-8</v>
      </c>
    </row>
    <row r="30" spans="1:23" s="27" customFormat="1" ht="12.95" customHeight="1" x14ac:dyDescent="0.2">
      <c r="A30" s="7" t="s">
        <v>40</v>
      </c>
      <c r="B30" s="8" t="s">
        <v>39</v>
      </c>
      <c r="C30" s="7">
        <v>53462.492680000003</v>
      </c>
      <c r="D30" s="7" t="s">
        <v>42</v>
      </c>
      <c r="E30" s="27">
        <f t="shared" si="1"/>
        <v>1072.9985891945373</v>
      </c>
      <c r="F30" s="27">
        <f t="shared" si="2"/>
        <v>1073</v>
      </c>
      <c r="G30" s="27">
        <f t="shared" si="3"/>
        <v>-1.2644999951589853E-3</v>
      </c>
      <c r="K30" s="27">
        <f t="shared" si="8"/>
        <v>-1.2644999951589853E-3</v>
      </c>
      <c r="P30" s="35">
        <f t="shared" si="4"/>
        <v>-2.9586328645724795E-4</v>
      </c>
      <c r="Q30" s="59">
        <f t="shared" si="5"/>
        <v>38443.992680000003</v>
      </c>
      <c r="R30" s="29">
        <f t="shared" si="6"/>
        <v>9.3825707344453433E-7</v>
      </c>
      <c r="S30" s="29">
        <v>1</v>
      </c>
      <c r="T30" s="29">
        <f t="shared" si="7"/>
        <v>9.3825707344453433E-7</v>
      </c>
    </row>
    <row r="31" spans="1:23" s="27" customFormat="1" ht="12.95" customHeight="1" x14ac:dyDescent="0.2">
      <c r="A31" s="7" t="s">
        <v>40</v>
      </c>
      <c r="B31" s="8" t="s">
        <v>39</v>
      </c>
      <c r="C31" s="7">
        <v>53463.389880000002</v>
      </c>
      <c r="D31" s="7" t="s">
        <v>42</v>
      </c>
      <c r="E31" s="27">
        <f t="shared" si="1"/>
        <v>1073.9995972314975</v>
      </c>
      <c r="F31" s="27">
        <f t="shared" si="2"/>
        <v>1074</v>
      </c>
      <c r="G31" s="27">
        <f t="shared" si="3"/>
        <v>-3.6099999852012843E-4</v>
      </c>
      <c r="K31" s="27">
        <f t="shared" si="8"/>
        <v>-3.6099999852012843E-4</v>
      </c>
      <c r="P31" s="35">
        <f t="shared" si="4"/>
        <v>-2.9697695474209453E-4</v>
      </c>
      <c r="Q31" s="59">
        <f t="shared" si="5"/>
        <v>38444.889880000002</v>
      </c>
      <c r="R31" s="29">
        <f t="shared" si="6"/>
        <v>4.0989501346040453E-9</v>
      </c>
      <c r="S31" s="29">
        <v>1</v>
      </c>
      <c r="T31" s="29">
        <f t="shared" si="7"/>
        <v>4.0989501346040453E-9</v>
      </c>
    </row>
    <row r="32" spans="1:23" s="27" customFormat="1" ht="12.95" customHeight="1" x14ac:dyDescent="0.2">
      <c r="A32" s="7" t="s">
        <v>40</v>
      </c>
      <c r="B32" s="8" t="s">
        <v>39</v>
      </c>
      <c r="C32" s="7">
        <v>53515.378140000001</v>
      </c>
      <c r="D32" s="7" t="s">
        <v>42</v>
      </c>
      <c r="E32" s="27">
        <f t="shared" si="1"/>
        <v>1132.0030146274132</v>
      </c>
      <c r="F32" s="27">
        <f t="shared" si="2"/>
        <v>1132</v>
      </c>
      <c r="G32" s="27">
        <f t="shared" si="3"/>
        <v>2.701999997952953E-3</v>
      </c>
      <c r="K32" s="27">
        <f t="shared" si="8"/>
        <v>2.701999997952953E-3</v>
      </c>
      <c r="P32" s="35">
        <f t="shared" si="4"/>
        <v>-3.5958851416034189E-4</v>
      </c>
      <c r="Q32" s="59">
        <f t="shared" si="5"/>
        <v>38496.878140000001</v>
      </c>
      <c r="R32" s="29">
        <f t="shared" si="6"/>
        <v>9.3733242175040996E-6</v>
      </c>
      <c r="S32" s="29">
        <v>1</v>
      </c>
      <c r="T32" s="29">
        <f t="shared" si="7"/>
        <v>9.3733242175040996E-6</v>
      </c>
    </row>
    <row r="33" spans="1:20" s="27" customFormat="1" ht="12.95" customHeight="1" x14ac:dyDescent="0.2">
      <c r="A33" s="7" t="s">
        <v>40</v>
      </c>
      <c r="B33" s="8" t="s">
        <v>39</v>
      </c>
      <c r="C33" s="7">
        <v>53791.435250000002</v>
      </c>
      <c r="D33" s="7" t="s">
        <v>42</v>
      </c>
      <c r="E33" s="27">
        <f t="shared" si="1"/>
        <v>1440.0005466940916</v>
      </c>
      <c r="F33" s="27">
        <f t="shared" si="2"/>
        <v>1440</v>
      </c>
      <c r="G33" s="27">
        <f t="shared" si="3"/>
        <v>4.8999999853549525E-4</v>
      </c>
      <c r="K33" s="27">
        <f t="shared" si="8"/>
        <v>4.8999999853549525E-4</v>
      </c>
      <c r="P33" s="35">
        <f t="shared" si="4"/>
        <v>-6.2681248254860137E-4</v>
      </c>
      <c r="Q33" s="59">
        <f t="shared" si="5"/>
        <v>38772.935250000002</v>
      </c>
      <c r="R33" s="29">
        <f t="shared" si="6"/>
        <v>1.2472701179052157E-6</v>
      </c>
      <c r="S33" s="29">
        <v>1</v>
      </c>
      <c r="T33" s="29">
        <f t="shared" si="7"/>
        <v>1.2472701179052157E-6</v>
      </c>
    </row>
    <row r="34" spans="1:20" s="27" customFormat="1" ht="12.95" customHeight="1" x14ac:dyDescent="0.2">
      <c r="A34" s="7" t="s">
        <v>40</v>
      </c>
      <c r="B34" s="8" t="s">
        <v>39</v>
      </c>
      <c r="C34" s="7">
        <v>53833.560590000001</v>
      </c>
      <c r="D34" s="7" t="s">
        <v>41</v>
      </c>
      <c r="E34" s="27">
        <f t="shared" si="1"/>
        <v>1486.9998822934147</v>
      </c>
      <c r="F34" s="27">
        <f t="shared" si="2"/>
        <v>1487</v>
      </c>
      <c r="G34" s="27">
        <f t="shared" si="3"/>
        <v>-1.0550000297371298E-4</v>
      </c>
      <c r="K34" s="27">
        <f t="shared" si="8"/>
        <v>-1.0550000297371298E-4</v>
      </c>
      <c r="P34" s="35">
        <f t="shared" si="4"/>
        <v>-6.5793021851996681E-4</v>
      </c>
      <c r="Q34" s="59">
        <f t="shared" si="5"/>
        <v>38815.060590000001</v>
      </c>
      <c r="R34" s="29">
        <f t="shared" si="6"/>
        <v>3.0517914304848046E-7</v>
      </c>
      <c r="S34" s="29">
        <v>1</v>
      </c>
      <c r="T34" s="29">
        <f t="shared" si="7"/>
        <v>3.0517914304848046E-7</v>
      </c>
    </row>
    <row r="35" spans="1:20" s="27" customFormat="1" ht="12.95" customHeight="1" x14ac:dyDescent="0.2">
      <c r="A35" s="7" t="s">
        <v>40</v>
      </c>
      <c r="B35" s="8" t="s">
        <v>43</v>
      </c>
      <c r="C35" s="7">
        <v>53848.351730000002</v>
      </c>
      <c r="D35" s="7" t="s">
        <v>41</v>
      </c>
      <c r="E35" s="27">
        <f t="shared" si="1"/>
        <v>1503.502390113094</v>
      </c>
      <c r="F35" s="27">
        <f t="shared" si="2"/>
        <v>1503.5</v>
      </c>
      <c r="G35" s="27">
        <f t="shared" si="3"/>
        <v>2.142249999451451E-3</v>
      </c>
      <c r="K35" s="27">
        <f t="shared" si="8"/>
        <v>2.142249999451451E-3</v>
      </c>
      <c r="P35" s="35">
        <f t="shared" si="4"/>
        <v>-6.6824792474962915E-4</v>
      </c>
      <c r="Q35" s="59">
        <f t="shared" si="5"/>
        <v>38829.851730000002</v>
      </c>
      <c r="R35" s="29">
        <f t="shared" si="6"/>
        <v>7.89889858193858E-6</v>
      </c>
      <c r="S35" s="29">
        <v>1</v>
      </c>
      <c r="T35" s="29">
        <f t="shared" si="7"/>
        <v>7.89889858193858E-6</v>
      </c>
    </row>
    <row r="36" spans="1:20" s="27" customFormat="1" ht="12.95" customHeight="1" x14ac:dyDescent="0.2">
      <c r="A36" s="7" t="s">
        <v>40</v>
      </c>
      <c r="B36" s="8" t="s">
        <v>39</v>
      </c>
      <c r="C36" s="7">
        <v>54171.464090000001</v>
      </c>
      <c r="D36" s="7">
        <v>2.0000000000000001E-4</v>
      </c>
      <c r="E36" s="27">
        <f t="shared" si="1"/>
        <v>1863.9995693389405</v>
      </c>
      <c r="F36" s="27">
        <f t="shared" si="2"/>
        <v>1864</v>
      </c>
      <c r="G36" s="27">
        <f t="shared" si="3"/>
        <v>-3.8599999970756471E-4</v>
      </c>
      <c r="K36" s="27">
        <f t="shared" si="8"/>
        <v>-3.8599999970756471E-4</v>
      </c>
      <c r="P36" s="35">
        <f t="shared" si="4"/>
        <v>-8.1498858850005251E-4</v>
      </c>
      <c r="Q36" s="59">
        <f t="shared" si="5"/>
        <v>39152.964090000001</v>
      </c>
      <c r="R36" s="29">
        <f t="shared" si="6"/>
        <v>1.8403120931417019E-7</v>
      </c>
      <c r="S36" s="29">
        <v>1</v>
      </c>
      <c r="T36" s="29">
        <f t="shared" si="7"/>
        <v>1.8403120931417019E-7</v>
      </c>
    </row>
    <row r="37" spans="1:20" s="27" customFormat="1" ht="12.95" customHeight="1" x14ac:dyDescent="0.2">
      <c r="A37" s="7" t="s">
        <v>40</v>
      </c>
      <c r="B37" s="8" t="s">
        <v>39</v>
      </c>
      <c r="C37" s="7">
        <v>54171.464189999999</v>
      </c>
      <c r="D37" s="7">
        <v>5.0000000000000001E-4</v>
      </c>
      <c r="E37" s="27">
        <f t="shared" si="1"/>
        <v>1863.9996809091604</v>
      </c>
      <c r="F37" s="27">
        <f t="shared" si="2"/>
        <v>1864</v>
      </c>
      <c r="G37" s="27">
        <f t="shared" si="3"/>
        <v>-2.860000022337772E-4</v>
      </c>
      <c r="K37" s="27">
        <f t="shared" si="8"/>
        <v>-2.860000022337772E-4</v>
      </c>
      <c r="P37" s="35">
        <f t="shared" si="4"/>
        <v>-8.1498858850005251E-4</v>
      </c>
      <c r="Q37" s="59">
        <f t="shared" si="5"/>
        <v>39152.964189999999</v>
      </c>
      <c r="R37" s="29">
        <f t="shared" si="6"/>
        <v>2.7982892439999262E-7</v>
      </c>
      <c r="S37" s="29">
        <v>1</v>
      </c>
      <c r="T37" s="29">
        <f t="shared" si="7"/>
        <v>2.7982892439999262E-7</v>
      </c>
    </row>
    <row r="38" spans="1:20" s="27" customFormat="1" ht="12.95" customHeight="1" x14ac:dyDescent="0.2">
      <c r="A38" s="7" t="s">
        <v>40</v>
      </c>
      <c r="B38" s="8" t="s">
        <v>39</v>
      </c>
      <c r="C38" s="7">
        <v>54171.464590000003</v>
      </c>
      <c r="D38" s="7">
        <v>2.0000000000000001E-4</v>
      </c>
      <c r="E38" s="27">
        <f t="shared" si="1"/>
        <v>1864.0001271900555</v>
      </c>
      <c r="F38" s="27">
        <f t="shared" si="2"/>
        <v>1864</v>
      </c>
      <c r="G38" s="27">
        <f t="shared" si="3"/>
        <v>1.140000022132881E-4</v>
      </c>
      <c r="K38" s="27">
        <f t="shared" si="8"/>
        <v>1.140000022132881E-4</v>
      </c>
      <c r="P38" s="35">
        <f t="shared" si="4"/>
        <v>-8.1498858850005251E-4</v>
      </c>
      <c r="Q38" s="59">
        <f t="shared" si="5"/>
        <v>39152.964590000003</v>
      </c>
      <c r="R38" s="29">
        <f t="shared" si="6"/>
        <v>8.6301980167555862E-7</v>
      </c>
      <c r="S38" s="29">
        <v>1</v>
      </c>
      <c r="T38" s="29">
        <f t="shared" si="7"/>
        <v>8.6301980167555862E-7</v>
      </c>
    </row>
    <row r="39" spans="1:20" s="27" customFormat="1" ht="12.95" customHeight="1" x14ac:dyDescent="0.2">
      <c r="A39" s="7" t="s">
        <v>40</v>
      </c>
      <c r="B39" s="8" t="s">
        <v>43</v>
      </c>
      <c r="C39" s="7">
        <v>54202.386039999998</v>
      </c>
      <c r="D39" s="7">
        <v>5.9999999999999995E-4</v>
      </c>
      <c r="E39" s="27">
        <f t="shared" si="1"/>
        <v>1898.4992577790899</v>
      </c>
      <c r="F39" s="27">
        <f t="shared" si="2"/>
        <v>1898.5</v>
      </c>
      <c r="G39" s="27">
        <f t="shared" si="3"/>
        <v>-6.6525000147521496E-4</v>
      </c>
      <c r="K39" s="27">
        <f t="shared" si="8"/>
        <v>-6.6525000147521496E-4</v>
      </c>
      <c r="P39" s="35">
        <f t="shared" si="4"/>
        <v>-8.2114195374634628E-4</v>
      </c>
      <c r="Q39" s="59">
        <f t="shared" si="5"/>
        <v>39183.886039999998</v>
      </c>
      <c r="R39" s="29">
        <f t="shared" si="6"/>
        <v>2.4302300782904686E-8</v>
      </c>
      <c r="S39" s="29">
        <v>1</v>
      </c>
      <c r="T39" s="29">
        <f t="shared" si="7"/>
        <v>2.4302300782904686E-8</v>
      </c>
    </row>
    <row r="40" spans="1:20" s="27" customFormat="1" ht="12.95" customHeight="1" x14ac:dyDescent="0.2">
      <c r="A40" s="7" t="s">
        <v>40</v>
      </c>
      <c r="B40" s="8" t="s">
        <v>43</v>
      </c>
      <c r="C40" s="7">
        <v>54202.388339999998</v>
      </c>
      <c r="D40" s="7">
        <v>6.9999999999999999E-4</v>
      </c>
      <c r="E40" s="27">
        <f t="shared" si="1"/>
        <v>1898.5018238942093</v>
      </c>
      <c r="F40" s="27">
        <f t="shared" si="2"/>
        <v>1898.5</v>
      </c>
      <c r="G40" s="27">
        <f t="shared" si="3"/>
        <v>1.6347499986295588E-3</v>
      </c>
      <c r="K40" s="27">
        <f t="shared" si="8"/>
        <v>1.6347499986295588E-3</v>
      </c>
      <c r="P40" s="35">
        <f t="shared" si="4"/>
        <v>-8.2114195374634628E-4</v>
      </c>
      <c r="Q40" s="59">
        <f t="shared" si="5"/>
        <v>39183.888339999998</v>
      </c>
      <c r="R40" s="29">
        <f t="shared" si="6"/>
        <v>6.0314052817447346E-6</v>
      </c>
      <c r="S40" s="29">
        <v>1</v>
      </c>
      <c r="T40" s="29">
        <f t="shared" si="7"/>
        <v>6.0314052817447346E-6</v>
      </c>
    </row>
    <row r="41" spans="1:20" s="27" customFormat="1" ht="12.95" customHeight="1" x14ac:dyDescent="0.2">
      <c r="A41" s="61" t="s">
        <v>135</v>
      </c>
      <c r="B41" s="62" t="s">
        <v>39</v>
      </c>
      <c r="C41" s="63">
        <v>54572.108500000002</v>
      </c>
      <c r="D41" s="63" t="s">
        <v>69</v>
      </c>
      <c r="E41" s="27">
        <f t="shared" si="1"/>
        <v>2310.9994293183122</v>
      </c>
      <c r="F41" s="27">
        <f t="shared" si="2"/>
        <v>2311</v>
      </c>
      <c r="G41" s="27">
        <f t="shared" si="3"/>
        <v>-5.115000021760352E-4</v>
      </c>
      <c r="K41" s="27">
        <f t="shared" si="8"/>
        <v>-5.115000021760352E-4</v>
      </c>
      <c r="P41" s="35">
        <f t="shared" si="4"/>
        <v>-7.8796181300575668E-4</v>
      </c>
      <c r="Q41" s="59">
        <f t="shared" si="5"/>
        <v>39553.608500000002</v>
      </c>
      <c r="R41" s="29">
        <f t="shared" si="6"/>
        <v>7.6431132847248709E-8</v>
      </c>
      <c r="S41" s="29">
        <v>1</v>
      </c>
      <c r="T41" s="29">
        <f t="shared" si="7"/>
        <v>7.6431132847248709E-8</v>
      </c>
    </row>
    <row r="42" spans="1:20" s="27" customFormat="1" ht="12.95" customHeight="1" x14ac:dyDescent="0.2">
      <c r="A42" s="7" t="s">
        <v>38</v>
      </c>
      <c r="B42" s="8" t="s">
        <v>39</v>
      </c>
      <c r="C42" s="7">
        <v>54884.913200000003</v>
      </c>
      <c r="D42" s="7">
        <v>5.9999999999999995E-4</v>
      </c>
      <c r="E42" s="27">
        <f t="shared" si="1"/>
        <v>2659.9963293396786</v>
      </c>
      <c r="F42" s="27">
        <f t="shared" si="2"/>
        <v>2660</v>
      </c>
      <c r="G42" s="27">
        <f t="shared" si="3"/>
        <v>-3.2900000005611219E-3</v>
      </c>
      <c r="K42" s="27">
        <f t="shared" si="8"/>
        <v>-3.2900000005611219E-3</v>
      </c>
      <c r="P42" s="35">
        <f t="shared" si="4"/>
        <v>-6.0602296839235622E-4</v>
      </c>
      <c r="Q42" s="59">
        <f t="shared" si="5"/>
        <v>39866.413200000003</v>
      </c>
      <c r="R42" s="29">
        <f t="shared" si="6"/>
        <v>7.2037327092094553E-6</v>
      </c>
      <c r="S42" s="29">
        <v>1</v>
      </c>
      <c r="T42" s="29">
        <f t="shared" si="7"/>
        <v>7.2037327092094553E-6</v>
      </c>
    </row>
    <row r="43" spans="1:20" s="27" customFormat="1" ht="12.95" customHeight="1" x14ac:dyDescent="0.2">
      <c r="A43" s="60" t="s">
        <v>45</v>
      </c>
      <c r="B43" s="8" t="s">
        <v>43</v>
      </c>
      <c r="C43" s="7">
        <v>54937.348400000003</v>
      </c>
      <c r="D43" s="7">
        <v>8.0000000000000004E-4</v>
      </c>
      <c r="E43" s="27">
        <f t="shared" si="1"/>
        <v>2718.4983986883817</v>
      </c>
      <c r="F43" s="27">
        <f t="shared" si="2"/>
        <v>2718.5</v>
      </c>
      <c r="G43" s="27">
        <f t="shared" si="3"/>
        <v>-1.4352500002132729E-3</v>
      </c>
      <c r="I43" s="37"/>
      <c r="K43" s="27">
        <f t="shared" si="8"/>
        <v>-1.4352500002132729E-3</v>
      </c>
      <c r="P43" s="35">
        <f t="shared" si="4"/>
        <v>-5.6172437346248705E-4</v>
      </c>
      <c r="Q43" s="59">
        <f t="shared" si="5"/>
        <v>39918.848400000003</v>
      </c>
      <c r="R43" s="29">
        <f t="shared" si="6"/>
        <v>7.630470205903532E-7</v>
      </c>
      <c r="S43" s="29">
        <v>1</v>
      </c>
      <c r="T43" s="29">
        <f t="shared" si="7"/>
        <v>7.630470205903532E-7</v>
      </c>
    </row>
    <row r="44" spans="1:20" s="27" customFormat="1" ht="12.95" customHeight="1" x14ac:dyDescent="0.2">
      <c r="A44" s="7" t="s">
        <v>49</v>
      </c>
      <c r="B44" s="8" t="s">
        <v>39</v>
      </c>
      <c r="C44" s="7">
        <v>55654.833700000003</v>
      </c>
      <c r="D44" s="7">
        <v>5.0000000000000001E-4</v>
      </c>
      <c r="E44" s="27">
        <f t="shared" si="1"/>
        <v>3518.9983448557496</v>
      </c>
      <c r="F44" s="27">
        <f t="shared" si="2"/>
        <v>3519</v>
      </c>
      <c r="G44" s="27">
        <f t="shared" si="3"/>
        <v>-1.4834999965387397E-3</v>
      </c>
      <c r="K44" s="27">
        <f t="shared" si="8"/>
        <v>-1.4834999965387397E-3</v>
      </c>
      <c r="O44" s="27">
        <f t="shared" ref="O44:O61" ca="1" si="9">+C$11+C$12*$F44</f>
        <v>-6.2606039075820824E-4</v>
      </c>
      <c r="P44" s="35">
        <f t="shared" si="4"/>
        <v>4.4255697006153651E-4</v>
      </c>
      <c r="Q44" s="59">
        <f t="shared" si="5"/>
        <v>40636.333700000003</v>
      </c>
      <c r="R44" s="29">
        <f t="shared" si="6"/>
        <v>3.7096954385894574E-6</v>
      </c>
      <c r="S44" s="29">
        <v>1</v>
      </c>
      <c r="T44" s="29">
        <f t="shared" si="7"/>
        <v>3.7096954385894574E-6</v>
      </c>
    </row>
    <row r="45" spans="1:20" s="27" customFormat="1" ht="12.95" customHeight="1" x14ac:dyDescent="0.2">
      <c r="A45" s="7" t="s">
        <v>50</v>
      </c>
      <c r="B45" s="8" t="s">
        <v>39</v>
      </c>
      <c r="C45" s="7">
        <v>55667.3825</v>
      </c>
      <c r="D45" s="7">
        <v>1E-3</v>
      </c>
      <c r="E45" s="27">
        <f t="shared" si="1"/>
        <v>3532.9990689464903</v>
      </c>
      <c r="F45" s="27">
        <f t="shared" si="2"/>
        <v>3533</v>
      </c>
      <c r="G45" s="27">
        <f t="shared" si="3"/>
        <v>-8.3450000238372013E-4</v>
      </c>
      <c r="J45" s="27">
        <f>+G45</f>
        <v>-8.3450000238372013E-4</v>
      </c>
      <c r="O45" s="27">
        <f t="shared" ca="1" si="9"/>
        <v>-5.7384452558199676E-4</v>
      </c>
      <c r="P45" s="35">
        <f t="shared" si="4"/>
        <v>4.6672279692983043E-4</v>
      </c>
      <c r="Q45" s="59">
        <f t="shared" si="5"/>
        <v>40648.8825</v>
      </c>
      <c r="R45" s="29">
        <f t="shared" si="6"/>
        <v>1.6931807734533928E-6</v>
      </c>
      <c r="S45" s="29">
        <v>0.8</v>
      </c>
      <c r="T45" s="29">
        <f t="shared" si="7"/>
        <v>1.3545446187627144E-6</v>
      </c>
    </row>
    <row r="46" spans="1:20" s="27" customFormat="1" ht="12.95" customHeight="1" x14ac:dyDescent="0.2">
      <c r="A46" s="64" t="s">
        <v>51</v>
      </c>
      <c r="B46" s="65" t="s">
        <v>39</v>
      </c>
      <c r="C46" s="64">
        <v>55973.918100000003</v>
      </c>
      <c r="D46" s="64">
        <v>2.0000000000000001E-4</v>
      </c>
      <c r="E46" s="27">
        <f t="shared" si="1"/>
        <v>3875.0015201442839</v>
      </c>
      <c r="F46" s="27">
        <f t="shared" si="2"/>
        <v>3875</v>
      </c>
      <c r="G46" s="27">
        <f t="shared" si="3"/>
        <v>1.3624999992316589E-3</v>
      </c>
      <c r="K46" s="27">
        <f t="shared" ref="K46:K61" si="10">+G46</f>
        <v>1.3624999992316589E-3</v>
      </c>
      <c r="O46" s="27">
        <f t="shared" ca="1" si="9"/>
        <v>7.0171446657972883E-4</v>
      </c>
      <c r="P46" s="35">
        <f t="shared" si="4"/>
        <v>1.1275489620227851E-3</v>
      </c>
      <c r="Q46" s="59">
        <f t="shared" si="5"/>
        <v>40955.418100000003</v>
      </c>
      <c r="R46" s="29">
        <f t="shared" si="6"/>
        <v>5.5201989885525572E-8</v>
      </c>
      <c r="S46" s="29">
        <v>1</v>
      </c>
      <c r="T46" s="29">
        <f t="shared" si="7"/>
        <v>5.5201989885525572E-8</v>
      </c>
    </row>
    <row r="47" spans="1:20" s="27" customFormat="1" ht="12.95" customHeight="1" x14ac:dyDescent="0.2">
      <c r="A47" s="64" t="s">
        <v>51</v>
      </c>
      <c r="B47" s="65" t="s">
        <v>39</v>
      </c>
      <c r="C47" s="64">
        <v>55982.880400000002</v>
      </c>
      <c r="D47" s="64">
        <v>2.0000000000000001E-4</v>
      </c>
      <c r="E47" s="27">
        <f t="shared" si="1"/>
        <v>3885.0007782023026</v>
      </c>
      <c r="F47" s="27">
        <f t="shared" si="2"/>
        <v>3885</v>
      </c>
      <c r="G47" s="27">
        <f t="shared" si="3"/>
        <v>6.9749999966006726E-4</v>
      </c>
      <c r="K47" s="27">
        <f t="shared" si="10"/>
        <v>6.9749999966006726E-4</v>
      </c>
      <c r="O47" s="27">
        <f t="shared" ca="1" si="9"/>
        <v>7.3901151313416485E-4</v>
      </c>
      <c r="P47" s="35">
        <f t="shared" si="4"/>
        <v>1.1489093036932563E-3</v>
      </c>
      <c r="Q47" s="59">
        <f t="shared" si="5"/>
        <v>40964.380400000002</v>
      </c>
      <c r="R47" s="29">
        <f t="shared" si="6"/>
        <v>2.0377035976772815E-7</v>
      </c>
      <c r="S47" s="29">
        <v>1</v>
      </c>
      <c r="T47" s="29">
        <f t="shared" si="7"/>
        <v>2.0377035976772815E-7</v>
      </c>
    </row>
    <row r="48" spans="1:20" s="27" customFormat="1" ht="12.95" customHeight="1" x14ac:dyDescent="0.2">
      <c r="A48" s="66" t="s">
        <v>52</v>
      </c>
      <c r="B48" s="65"/>
      <c r="C48" s="64">
        <v>56363.805999999997</v>
      </c>
      <c r="D48" s="64">
        <v>1E-3</v>
      </c>
      <c r="E48" s="27">
        <f t="shared" si="1"/>
        <v>4310.0003179751293</v>
      </c>
      <c r="F48" s="27">
        <f t="shared" si="2"/>
        <v>4310</v>
      </c>
      <c r="G48" s="27">
        <f t="shared" si="3"/>
        <v>2.8499999461928383E-4</v>
      </c>
      <c r="K48" s="27">
        <f t="shared" si="10"/>
        <v>2.8499999461928383E-4</v>
      </c>
      <c r="O48" s="27">
        <f t="shared" ca="1" si="9"/>
        <v>2.324135991697715E-3</v>
      </c>
      <c r="P48" s="35">
        <f t="shared" si="4"/>
        <v>2.1637590537626102E-3</v>
      </c>
      <c r="Q48" s="59">
        <f t="shared" si="5"/>
        <v>41345.305999999997</v>
      </c>
      <c r="R48" s="29">
        <f t="shared" si="6"/>
        <v>3.5297356023131168E-6</v>
      </c>
      <c r="S48" s="29">
        <v>0.8</v>
      </c>
      <c r="T48" s="29">
        <f t="shared" si="7"/>
        <v>2.8237884818504935E-6</v>
      </c>
    </row>
    <row r="49" spans="1:20" s="27" customFormat="1" ht="12.95" customHeight="1" x14ac:dyDescent="0.2">
      <c r="A49" s="67" t="s">
        <v>58</v>
      </c>
      <c r="B49" s="65" t="s">
        <v>39</v>
      </c>
      <c r="C49" s="68">
        <v>57021.692000000003</v>
      </c>
      <c r="D49" s="68">
        <v>8.9999999999999993E-3</v>
      </c>
      <c r="E49" s="27">
        <f t="shared" si="1"/>
        <v>5044.0051924781601</v>
      </c>
      <c r="F49" s="27">
        <f t="shared" si="2"/>
        <v>5044</v>
      </c>
      <c r="G49" s="27">
        <f t="shared" si="3"/>
        <v>4.6540000039385632E-3</v>
      </c>
      <c r="K49" s="27">
        <f t="shared" si="10"/>
        <v>4.6540000039385632E-3</v>
      </c>
      <c r="O49" s="27">
        <f t="shared" ca="1" si="9"/>
        <v>5.0617392087933498E-3</v>
      </c>
      <c r="P49" s="35">
        <f t="shared" si="4"/>
        <v>4.4089890106767567E-3</v>
      </c>
      <c r="Q49" s="59">
        <f t="shared" si="5"/>
        <v>42003.192000000003</v>
      </c>
      <c r="R49" s="29">
        <f t="shared" si="6"/>
        <v>6.0030386819136989E-8</v>
      </c>
      <c r="S49" s="29">
        <v>1</v>
      </c>
      <c r="T49" s="29">
        <f t="shared" si="7"/>
        <v>6.0030386819136989E-8</v>
      </c>
    </row>
    <row r="50" spans="1:20" s="27" customFormat="1" ht="12.95" customHeight="1" x14ac:dyDescent="0.2">
      <c r="A50" s="66" t="s">
        <v>171</v>
      </c>
      <c r="B50" s="65"/>
      <c r="C50" s="64">
        <v>57084.881300000001</v>
      </c>
      <c r="D50" s="64">
        <v>2.9999999999999997E-4</v>
      </c>
      <c r="E50" s="27">
        <f t="shared" si="1"/>
        <v>5114.5056351330159</v>
      </c>
      <c r="F50" s="27">
        <f t="shared" si="2"/>
        <v>5114.5</v>
      </c>
      <c r="G50" s="27">
        <f t="shared" si="3"/>
        <v>5.0507499981904402E-3</v>
      </c>
      <c r="K50" s="27">
        <f t="shared" si="10"/>
        <v>5.0507499981904402E-3</v>
      </c>
      <c r="O50" s="27">
        <f t="shared" ca="1" si="9"/>
        <v>5.324683387002125E-3</v>
      </c>
      <c r="P50" s="35">
        <f t="shared" si="4"/>
        <v>4.6574782255868821E-3</v>
      </c>
      <c r="Q50" s="59">
        <f t="shared" si="5"/>
        <v>42066.381300000001</v>
      </c>
      <c r="R50" s="29">
        <f t="shared" si="6"/>
        <v>1.5466268712674473E-7</v>
      </c>
      <c r="S50" s="29">
        <v>1</v>
      </c>
      <c r="T50" s="29">
        <f t="shared" si="7"/>
        <v>1.5466268712674473E-7</v>
      </c>
    </row>
    <row r="51" spans="1:20" s="27" customFormat="1" ht="12.95" customHeight="1" x14ac:dyDescent="0.2">
      <c r="A51" s="22" t="s">
        <v>172</v>
      </c>
      <c r="B51" s="23" t="s">
        <v>39</v>
      </c>
      <c r="C51" s="22">
        <v>57126.559099999999</v>
      </c>
      <c r="D51" s="22">
        <v>1E-4</v>
      </c>
      <c r="E51" s="27">
        <f t="shared" si="1"/>
        <v>5161.0056493582169</v>
      </c>
      <c r="F51" s="27">
        <f t="shared" si="2"/>
        <v>5161</v>
      </c>
      <c r="G51" s="27">
        <f t="shared" si="3"/>
        <v>5.0634999934118241E-3</v>
      </c>
      <c r="K51" s="27">
        <f t="shared" si="10"/>
        <v>5.0634999934118241E-3</v>
      </c>
      <c r="O51" s="27">
        <f t="shared" ca="1" si="9"/>
        <v>5.4981146534802544E-3</v>
      </c>
      <c r="P51" s="35">
        <f t="shared" si="4"/>
        <v>4.8245251991888699E-3</v>
      </c>
      <c r="Q51" s="59">
        <f t="shared" si="5"/>
        <v>42108.059099999999</v>
      </c>
      <c r="R51" s="29">
        <f t="shared" si="6"/>
        <v>5.7108952273903307E-8</v>
      </c>
      <c r="S51" s="29">
        <v>1</v>
      </c>
      <c r="T51" s="29">
        <f t="shared" si="7"/>
        <v>5.7108952273903307E-8</v>
      </c>
    </row>
    <row r="52" spans="1:20" s="27" customFormat="1" ht="12.95" customHeight="1" x14ac:dyDescent="0.2">
      <c r="A52" s="69" t="s">
        <v>2</v>
      </c>
      <c r="B52" s="70" t="s">
        <v>39</v>
      </c>
      <c r="C52" s="71">
        <v>57464.465700000001</v>
      </c>
      <c r="D52" s="71">
        <v>2.2000000000000001E-3</v>
      </c>
      <c r="E52" s="27">
        <f t="shared" si="1"/>
        <v>5538.0087950806446</v>
      </c>
      <c r="F52" s="27">
        <f t="shared" si="2"/>
        <v>5538</v>
      </c>
      <c r="G52" s="27">
        <f t="shared" si="3"/>
        <v>7.8829999984009191E-3</v>
      </c>
      <c r="K52" s="27">
        <f t="shared" si="10"/>
        <v>7.8829999984009191E-3</v>
      </c>
      <c r="O52" s="27">
        <f t="shared" ca="1" si="9"/>
        <v>6.9042133085825096E-3</v>
      </c>
      <c r="P52" s="35">
        <f t="shared" si="4"/>
        <v>6.2712994914975746E-3</v>
      </c>
      <c r="Q52" s="59">
        <f t="shared" si="5"/>
        <v>42445.965700000001</v>
      </c>
      <c r="R52" s="29">
        <f t="shared" si="6"/>
        <v>2.5975785239524979E-6</v>
      </c>
      <c r="S52" s="29">
        <v>1</v>
      </c>
      <c r="T52" s="29">
        <f t="shared" si="7"/>
        <v>2.5975785239524979E-6</v>
      </c>
    </row>
    <row r="53" spans="1:20" s="27" customFormat="1" ht="12.95" customHeight="1" x14ac:dyDescent="0.2">
      <c r="A53" s="72" t="s">
        <v>173</v>
      </c>
      <c r="B53" s="23" t="s">
        <v>39</v>
      </c>
      <c r="C53" s="73">
        <v>57830.1564</v>
      </c>
      <c r="D53" s="22" t="s">
        <v>174</v>
      </c>
      <c r="E53" s="27">
        <f t="shared" si="1"/>
        <v>5946.0107230140893</v>
      </c>
      <c r="F53" s="27">
        <f t="shared" si="2"/>
        <v>5946</v>
      </c>
      <c r="G53" s="27">
        <f t="shared" si="3"/>
        <v>9.6109999940381385E-3</v>
      </c>
      <c r="K53" s="27">
        <f t="shared" si="10"/>
        <v>9.6109999940381385E-3</v>
      </c>
      <c r="O53" s="27">
        <f t="shared" ca="1" si="9"/>
        <v>8.4259328080035154E-3</v>
      </c>
      <c r="P53" s="35">
        <f t="shared" si="4"/>
        <v>8.0224686163647887E-3</v>
      </c>
      <c r="Q53" s="59">
        <f t="shared" si="5"/>
        <v>42811.6564</v>
      </c>
      <c r="R53" s="29">
        <f t="shared" si="6"/>
        <v>2.523431937852791E-6</v>
      </c>
      <c r="S53" s="29">
        <v>1</v>
      </c>
      <c r="T53" s="29">
        <f t="shared" si="7"/>
        <v>2.523431937852791E-6</v>
      </c>
    </row>
    <row r="54" spans="1:20" s="27" customFormat="1" ht="12.95" customHeight="1" x14ac:dyDescent="0.2">
      <c r="A54" s="74" t="s">
        <v>1</v>
      </c>
      <c r="B54" s="86" t="s">
        <v>39</v>
      </c>
      <c r="C54" s="75">
        <v>57836.429799999998</v>
      </c>
      <c r="D54" s="75">
        <v>2E-3</v>
      </c>
      <c r="E54" s="27">
        <f t="shared" si="1"/>
        <v>5953.0099693572347</v>
      </c>
      <c r="F54" s="27">
        <f t="shared" si="2"/>
        <v>5953</v>
      </c>
      <c r="G54" s="27">
        <f t="shared" si="3"/>
        <v>8.9354999945499003E-3</v>
      </c>
      <c r="K54" s="27">
        <f t="shared" si="10"/>
        <v>8.9354999945499003E-3</v>
      </c>
      <c r="O54" s="27">
        <f t="shared" ca="1" si="9"/>
        <v>8.4520407405916202E-3</v>
      </c>
      <c r="P54" s="35">
        <f t="shared" si="4"/>
        <v>8.0541950634690426E-3</v>
      </c>
      <c r="Q54" s="59">
        <f t="shared" si="5"/>
        <v>42817.929799999998</v>
      </c>
      <c r="R54" s="29">
        <f t="shared" si="6"/>
        <v>7.7669838154743524E-7</v>
      </c>
      <c r="S54" s="29">
        <v>0.4</v>
      </c>
      <c r="T54" s="29">
        <f t="shared" si="7"/>
        <v>3.106793526189741E-7</v>
      </c>
    </row>
    <row r="55" spans="1:20" s="27" customFormat="1" ht="12.95" customHeight="1" x14ac:dyDescent="0.2">
      <c r="A55" s="77" t="s">
        <v>175</v>
      </c>
      <c r="B55" s="78" t="s">
        <v>43</v>
      </c>
      <c r="C55" s="79">
        <v>57840.464819999877</v>
      </c>
      <c r="D55" s="79">
        <v>2.9999999999999997E-4</v>
      </c>
      <c r="E55" s="27">
        <f t="shared" si="1"/>
        <v>5957.5118501521265</v>
      </c>
      <c r="F55" s="27">
        <f t="shared" si="2"/>
        <v>5957.5</v>
      </c>
      <c r="G55" s="27">
        <f t="shared" si="3"/>
        <v>1.0621249879477546E-2</v>
      </c>
      <c r="K55" s="27">
        <f t="shared" si="10"/>
        <v>1.0621249879477546E-2</v>
      </c>
      <c r="O55" s="27">
        <f t="shared" ca="1" si="9"/>
        <v>8.468824411541117E-3</v>
      </c>
      <c r="P55" s="35">
        <f t="shared" si="4"/>
        <v>8.0746205977872323E-3</v>
      </c>
      <c r="Q55" s="59">
        <f t="shared" si="5"/>
        <v>42821.964819999877</v>
      </c>
      <c r="R55" s="29">
        <f t="shared" si="6"/>
        <v>6.4853206983625215E-6</v>
      </c>
      <c r="S55" s="29">
        <v>1</v>
      </c>
      <c r="T55" s="29">
        <f t="shared" si="7"/>
        <v>6.4853206983625215E-6</v>
      </c>
    </row>
    <row r="56" spans="1:20" s="27" customFormat="1" ht="12.95" customHeight="1" x14ac:dyDescent="0.2">
      <c r="A56" s="74" t="s">
        <v>0</v>
      </c>
      <c r="B56" s="76" t="s">
        <v>39</v>
      </c>
      <c r="C56" s="74">
        <v>58203.016100000124</v>
      </c>
      <c r="D56" s="74" t="s">
        <v>14</v>
      </c>
      <c r="E56" s="27">
        <f t="shared" si="1"/>
        <v>6362.0111202042208</v>
      </c>
      <c r="F56" s="27">
        <f t="shared" si="2"/>
        <v>6362</v>
      </c>
      <c r="G56" s="27">
        <f t="shared" si="3"/>
        <v>9.9670001218328252E-3</v>
      </c>
      <c r="K56" s="27">
        <f t="shared" si="10"/>
        <v>9.9670001218328252E-3</v>
      </c>
      <c r="O56" s="27">
        <f t="shared" ca="1" si="9"/>
        <v>9.9774899446680686E-3</v>
      </c>
      <c r="P56" s="35">
        <f t="shared" si="4"/>
        <v>1.0006432613662783E-2</v>
      </c>
      <c r="Q56" s="59">
        <f t="shared" si="5"/>
        <v>43184.516100000124</v>
      </c>
      <c r="R56" s="29">
        <f t="shared" si="6"/>
        <v>1.5549214119196785E-9</v>
      </c>
      <c r="S56" s="29">
        <v>1</v>
      </c>
      <c r="T56" s="29">
        <f t="shared" si="7"/>
        <v>1.5549214119196785E-9</v>
      </c>
    </row>
    <row r="57" spans="1:20" s="27" customFormat="1" ht="12.95" customHeight="1" x14ac:dyDescent="0.2">
      <c r="A57" s="24" t="s">
        <v>179</v>
      </c>
      <c r="B57" s="25" t="s">
        <v>43</v>
      </c>
      <c r="C57" s="84">
        <v>59234.21041</v>
      </c>
      <c r="D57" s="84">
        <v>2.0000000000000001E-4</v>
      </c>
      <c r="E57" s="27">
        <f t="shared" si="1"/>
        <v>7512.5169070726015</v>
      </c>
      <c r="F57" s="27">
        <f t="shared" si="2"/>
        <v>7512.5</v>
      </c>
      <c r="G57" s="27">
        <f t="shared" si="3"/>
        <v>1.5153749998717103E-2</v>
      </c>
      <c r="K57" s="27">
        <f t="shared" si="10"/>
        <v>1.5153749998717103E-2</v>
      </c>
      <c r="O57" s="27">
        <f t="shared" ca="1" si="9"/>
        <v>1.4268515150755983E-2</v>
      </c>
      <c r="P57" s="35">
        <f t="shared" si="4"/>
        <v>1.6536768471085588E-2</v>
      </c>
      <c r="Q57" s="59">
        <f t="shared" si="5"/>
        <v>44215.71041</v>
      </c>
      <c r="R57" s="29">
        <f t="shared" si="6"/>
        <v>1.912740094912456E-6</v>
      </c>
      <c r="S57" s="29">
        <v>1</v>
      </c>
      <c r="T57" s="29">
        <f t="shared" si="7"/>
        <v>1.912740094912456E-6</v>
      </c>
    </row>
    <row r="58" spans="1:20" s="27" customFormat="1" ht="12.95" customHeight="1" x14ac:dyDescent="0.2">
      <c r="A58" s="24" t="s">
        <v>176</v>
      </c>
      <c r="B58" s="25" t="s">
        <v>39</v>
      </c>
      <c r="C58" s="85">
        <v>59304.566700000003</v>
      </c>
      <c r="D58" s="84">
        <v>5.0000000000000001E-4</v>
      </c>
      <c r="E58" s="27">
        <f t="shared" si="1"/>
        <v>7591.0135764225361</v>
      </c>
      <c r="F58" s="27">
        <f t="shared" si="2"/>
        <v>7591</v>
      </c>
      <c r="G58" s="27">
        <f t="shared" si="3"/>
        <v>1.2168499997642357E-2</v>
      </c>
      <c r="K58" s="27">
        <f t="shared" si="10"/>
        <v>1.2168499997642357E-2</v>
      </c>
      <c r="O58" s="27">
        <f t="shared" ca="1" si="9"/>
        <v>1.4561296966208309E-2</v>
      </c>
      <c r="P58" s="35">
        <f t="shared" si="4"/>
        <v>1.7038197181972269E-2</v>
      </c>
      <c r="Q58" s="59">
        <f t="shared" si="5"/>
        <v>44286.066700000003</v>
      </c>
      <c r="R58" s="29">
        <f t="shared" si="6"/>
        <v>2.3713950667070671E-5</v>
      </c>
      <c r="S58" s="29">
        <v>1</v>
      </c>
      <c r="T58" s="29">
        <f t="shared" si="7"/>
        <v>2.3713950667070671E-5</v>
      </c>
    </row>
    <row r="59" spans="1:20" s="27" customFormat="1" ht="12.95" customHeight="1" x14ac:dyDescent="0.2">
      <c r="A59" s="24" t="s">
        <v>176</v>
      </c>
      <c r="B59" s="25" t="s">
        <v>39</v>
      </c>
      <c r="C59" s="85">
        <v>59305.463499999998</v>
      </c>
      <c r="D59" s="84">
        <v>1.8E-3</v>
      </c>
      <c r="E59" s="27">
        <f t="shared" si="1"/>
        <v>7592.0141381786007</v>
      </c>
      <c r="F59" s="27">
        <f t="shared" si="2"/>
        <v>7592</v>
      </c>
      <c r="G59" s="27">
        <f t="shared" si="3"/>
        <v>1.2671999997110106E-2</v>
      </c>
      <c r="K59" s="27">
        <f t="shared" si="10"/>
        <v>1.2671999997110106E-2</v>
      </c>
      <c r="O59" s="27">
        <f t="shared" ca="1" si="9"/>
        <v>1.4565026670863752E-2</v>
      </c>
      <c r="P59" s="35">
        <f t="shared" si="4"/>
        <v>1.7044630836182142E-2</v>
      </c>
      <c r="Q59" s="59">
        <f t="shared" si="5"/>
        <v>44286.963499999998</v>
      </c>
      <c r="R59" s="29">
        <f t="shared" si="6"/>
        <v>1.9119900454803821E-5</v>
      </c>
      <c r="S59" s="29">
        <v>1</v>
      </c>
      <c r="T59" s="29">
        <f t="shared" si="7"/>
        <v>1.9119900454803821E-5</v>
      </c>
    </row>
    <row r="60" spans="1:20" s="27" customFormat="1" ht="12.95" customHeight="1" x14ac:dyDescent="0.2">
      <c r="A60" s="26" t="s">
        <v>177</v>
      </c>
      <c r="B60" s="80" t="s">
        <v>39</v>
      </c>
      <c r="C60" s="81">
        <v>59647.8514</v>
      </c>
      <c r="D60" s="81">
        <v>1E-4</v>
      </c>
      <c r="E60" s="27">
        <f t="shared" si="1"/>
        <v>7974.0170802853718</v>
      </c>
      <c r="F60" s="27">
        <f t="shared" si="2"/>
        <v>7974</v>
      </c>
      <c r="G60" s="27">
        <f t="shared" si="3"/>
        <v>1.5308999994886108E-2</v>
      </c>
      <c r="K60" s="27">
        <f t="shared" si="10"/>
        <v>1.5308999994886108E-2</v>
      </c>
      <c r="O60" s="27">
        <f t="shared" ca="1" si="9"/>
        <v>1.5989773849243223E-2</v>
      </c>
      <c r="P60" s="35">
        <f t="shared" si="4"/>
        <v>1.9586992065382954E-2</v>
      </c>
      <c r="Q60" s="59">
        <f t="shared" si="5"/>
        <v>44629.3514</v>
      </c>
      <c r="R60" s="29">
        <f t="shared" si="6"/>
        <v>1.8301216155233889E-5</v>
      </c>
      <c r="S60" s="29">
        <v>1</v>
      </c>
      <c r="T60" s="29">
        <f t="shared" si="7"/>
        <v>1.8301216155233889E-5</v>
      </c>
    </row>
    <row r="61" spans="1:20" s="27" customFormat="1" ht="12.95" customHeight="1" x14ac:dyDescent="0.2">
      <c r="A61" s="82" t="s">
        <v>178</v>
      </c>
      <c r="B61" s="83" t="s">
        <v>39</v>
      </c>
      <c r="C61" s="84">
        <v>60002.788800000002</v>
      </c>
      <c r="D61" s="84">
        <v>2.9999999999999997E-4</v>
      </c>
      <c r="E61" s="27">
        <f t="shared" si="1"/>
        <v>8370.021527474446</v>
      </c>
      <c r="F61" s="27">
        <f t="shared" si="2"/>
        <v>8370</v>
      </c>
      <c r="G61" s="27">
        <f t="shared" si="3"/>
        <v>1.9294999998237472E-2</v>
      </c>
      <c r="K61" s="27">
        <f t="shared" si="10"/>
        <v>1.9294999998237472E-2</v>
      </c>
      <c r="O61" s="27">
        <f t="shared" ca="1" si="9"/>
        <v>1.7466736892798904E-2</v>
      </c>
      <c r="P61" s="35">
        <f t="shared" si="4"/>
        <v>2.2400899463952507E-2</v>
      </c>
      <c r="Q61" s="59">
        <f t="shared" si="5"/>
        <v>44984.288800000002</v>
      </c>
      <c r="R61" s="29">
        <f t="shared" si="6"/>
        <v>9.6466114911289391E-6</v>
      </c>
      <c r="S61" s="29">
        <v>1</v>
      </c>
      <c r="T61" s="29">
        <f t="shared" si="7"/>
        <v>9.6466114911289391E-6</v>
      </c>
    </row>
    <row r="62" spans="1:20" s="27" customFormat="1" ht="12.95" customHeight="1" x14ac:dyDescent="0.2">
      <c r="B62" s="28"/>
      <c r="C62" s="57"/>
      <c r="D62" s="57"/>
    </row>
    <row r="63" spans="1:20" s="27" customFormat="1" ht="12.95" customHeight="1" x14ac:dyDescent="0.2">
      <c r="B63" s="28"/>
      <c r="C63" s="57"/>
      <c r="D63" s="57"/>
    </row>
    <row r="64" spans="1:20" s="27" customFormat="1" ht="12.95" customHeight="1" x14ac:dyDescent="0.2">
      <c r="B64" s="28"/>
      <c r="C64" s="57"/>
      <c r="D64" s="57"/>
    </row>
    <row r="65" spans="2:4" s="27" customFormat="1" ht="12.95" customHeight="1" x14ac:dyDescent="0.2">
      <c r="B65" s="28"/>
      <c r="C65" s="57"/>
      <c r="D65" s="57"/>
    </row>
    <row r="66" spans="2:4" s="27" customFormat="1" ht="12.95" customHeight="1" x14ac:dyDescent="0.2">
      <c r="B66" s="28"/>
      <c r="C66" s="57"/>
      <c r="D66" s="57"/>
    </row>
    <row r="67" spans="2:4" s="27" customFormat="1" ht="12.95" customHeight="1" x14ac:dyDescent="0.2">
      <c r="B67" s="28"/>
      <c r="C67" s="57"/>
      <c r="D67" s="57"/>
    </row>
    <row r="68" spans="2:4" s="27" customFormat="1" ht="12.95" customHeight="1" x14ac:dyDescent="0.2">
      <c r="B68" s="28"/>
      <c r="C68" s="57"/>
      <c r="D68" s="57"/>
    </row>
    <row r="69" spans="2:4" s="27" customFormat="1" ht="12.95" customHeight="1" x14ac:dyDescent="0.2">
      <c r="B69" s="28"/>
      <c r="C69" s="57"/>
      <c r="D69" s="57"/>
    </row>
    <row r="70" spans="2:4" s="27" customFormat="1" ht="12.95" customHeight="1" x14ac:dyDescent="0.2">
      <c r="B70" s="28"/>
      <c r="C70" s="57"/>
      <c r="D70" s="57"/>
    </row>
    <row r="71" spans="2:4" s="27" customFormat="1" ht="12.95" customHeight="1" x14ac:dyDescent="0.2">
      <c r="B71" s="28"/>
      <c r="C71" s="57"/>
      <c r="D71" s="57"/>
    </row>
    <row r="72" spans="2:4" s="27" customFormat="1" ht="12.95" customHeight="1" x14ac:dyDescent="0.2">
      <c r="B72" s="28"/>
      <c r="C72" s="57"/>
      <c r="D72" s="57"/>
    </row>
    <row r="73" spans="2:4" s="27" customFormat="1" ht="12.95" customHeight="1" x14ac:dyDescent="0.2">
      <c r="C73" s="57"/>
      <c r="D73" s="57"/>
    </row>
    <row r="74" spans="2:4" s="27" customFormat="1" ht="12.95" customHeight="1" x14ac:dyDescent="0.2">
      <c r="C74" s="57"/>
      <c r="D74" s="57"/>
    </row>
    <row r="75" spans="2:4" s="27" customFormat="1" ht="12.95" customHeight="1" x14ac:dyDescent="0.2">
      <c r="C75" s="57"/>
      <c r="D75" s="57"/>
    </row>
    <row r="76" spans="2:4" s="27" customFormat="1" ht="12.95" customHeight="1" x14ac:dyDescent="0.2">
      <c r="C76" s="57"/>
      <c r="D76" s="57"/>
    </row>
    <row r="77" spans="2:4" s="27" customFormat="1" ht="12.95" customHeight="1" x14ac:dyDescent="0.2">
      <c r="C77" s="57"/>
      <c r="D77" s="57"/>
    </row>
    <row r="78" spans="2:4" s="27" customFormat="1" ht="12.95" customHeight="1" x14ac:dyDescent="0.2">
      <c r="C78" s="57"/>
      <c r="D78" s="57"/>
    </row>
    <row r="79" spans="2:4" s="27" customFormat="1" ht="12.95" customHeight="1" x14ac:dyDescent="0.2">
      <c r="C79" s="57"/>
      <c r="D79" s="57"/>
    </row>
    <row r="80" spans="2:4" s="27" customFormat="1" ht="12.95" customHeight="1" x14ac:dyDescent="0.2">
      <c r="C80" s="57"/>
      <c r="D80" s="57"/>
    </row>
    <row r="81" spans="3:4" s="27" customFormat="1" ht="12.95" customHeight="1" x14ac:dyDescent="0.2">
      <c r="C81" s="57"/>
      <c r="D81" s="57"/>
    </row>
    <row r="82" spans="3:4" s="27" customFormat="1" ht="12.95" customHeight="1" x14ac:dyDescent="0.2">
      <c r="C82" s="57"/>
      <c r="D82" s="57"/>
    </row>
    <row r="83" spans="3:4" s="27" customFormat="1" ht="12.95" customHeight="1" x14ac:dyDescent="0.2">
      <c r="C83" s="57"/>
      <c r="D83" s="57"/>
    </row>
    <row r="84" spans="3:4" s="27" customFormat="1" ht="12.95" customHeight="1" x14ac:dyDescent="0.2">
      <c r="C84" s="57"/>
      <c r="D84" s="57"/>
    </row>
    <row r="85" spans="3:4" s="27" customFormat="1" ht="12.95" customHeight="1" x14ac:dyDescent="0.2">
      <c r="C85" s="57"/>
      <c r="D85" s="57"/>
    </row>
    <row r="86" spans="3:4" s="27" customFormat="1" ht="12.95" customHeight="1" x14ac:dyDescent="0.2">
      <c r="C86" s="57"/>
      <c r="D86" s="57"/>
    </row>
    <row r="87" spans="3:4" s="27" customFormat="1" ht="12.95" customHeight="1" x14ac:dyDescent="0.2">
      <c r="C87" s="57"/>
      <c r="D87" s="57"/>
    </row>
    <row r="88" spans="3:4" s="27" customFormat="1" ht="12.95" customHeight="1" x14ac:dyDescent="0.2">
      <c r="C88" s="57"/>
      <c r="D88" s="57"/>
    </row>
    <row r="89" spans="3:4" s="27" customFormat="1" ht="12.95" customHeight="1" x14ac:dyDescent="0.2">
      <c r="C89" s="57"/>
      <c r="D89" s="57"/>
    </row>
    <row r="90" spans="3:4" s="27" customFormat="1" ht="12.95" customHeight="1" x14ac:dyDescent="0.2">
      <c r="C90" s="57"/>
      <c r="D90" s="57"/>
    </row>
    <row r="91" spans="3:4" s="27" customFormat="1" ht="12.95" customHeight="1" x14ac:dyDescent="0.2">
      <c r="C91" s="57"/>
      <c r="D91" s="57"/>
    </row>
    <row r="92" spans="3:4" s="27" customFormat="1" ht="12.95" customHeight="1" x14ac:dyDescent="0.2">
      <c r="C92" s="57"/>
      <c r="D92" s="57"/>
    </row>
    <row r="93" spans="3:4" s="27" customFormat="1" ht="12.95" customHeight="1" x14ac:dyDescent="0.2">
      <c r="C93" s="57"/>
      <c r="D93" s="57"/>
    </row>
    <row r="94" spans="3:4" s="27" customFormat="1" ht="12.95" customHeight="1" x14ac:dyDescent="0.2">
      <c r="C94" s="57"/>
      <c r="D94" s="57"/>
    </row>
    <row r="95" spans="3:4" s="27" customFormat="1" ht="12.95" customHeight="1" x14ac:dyDescent="0.2">
      <c r="C95" s="57"/>
      <c r="D95" s="57"/>
    </row>
    <row r="96" spans="3:4" s="27" customFormat="1" ht="12.95" customHeight="1" x14ac:dyDescent="0.2">
      <c r="C96" s="57"/>
      <c r="D96" s="57"/>
    </row>
    <row r="97" spans="3:4" s="27" customFormat="1" ht="12.95" customHeight="1" x14ac:dyDescent="0.2">
      <c r="C97" s="57"/>
      <c r="D97" s="57"/>
    </row>
    <row r="98" spans="3:4" s="27" customFormat="1" ht="12.95" customHeight="1" x14ac:dyDescent="0.2">
      <c r="C98" s="57"/>
      <c r="D98" s="57"/>
    </row>
    <row r="99" spans="3:4" s="27" customFormat="1" ht="12.95" customHeight="1" x14ac:dyDescent="0.2">
      <c r="C99" s="57"/>
      <c r="D99" s="57"/>
    </row>
    <row r="100" spans="3:4" s="27" customFormat="1" ht="12.95" customHeight="1" x14ac:dyDescent="0.2">
      <c r="C100" s="57"/>
      <c r="D100" s="57"/>
    </row>
    <row r="101" spans="3:4" s="27" customFormat="1" ht="12.95" customHeight="1" x14ac:dyDescent="0.2">
      <c r="C101" s="57"/>
      <c r="D101" s="57"/>
    </row>
    <row r="102" spans="3:4" s="27" customFormat="1" ht="12.95" customHeight="1" x14ac:dyDescent="0.2">
      <c r="C102" s="57"/>
      <c r="D102" s="57"/>
    </row>
    <row r="103" spans="3:4" s="27" customFormat="1" ht="12.95" customHeight="1" x14ac:dyDescent="0.2">
      <c r="C103" s="57"/>
      <c r="D103" s="57"/>
    </row>
    <row r="104" spans="3:4" s="27" customFormat="1" ht="12.95" customHeight="1" x14ac:dyDescent="0.2">
      <c r="C104" s="57"/>
      <c r="D104" s="57"/>
    </row>
    <row r="105" spans="3:4" s="27" customFormat="1" ht="12.95" customHeight="1" x14ac:dyDescent="0.2">
      <c r="C105" s="57"/>
      <c r="D105" s="57"/>
    </row>
    <row r="106" spans="3:4" s="27" customFormat="1" ht="12.95" customHeight="1" x14ac:dyDescent="0.2">
      <c r="C106" s="57"/>
      <c r="D106" s="57"/>
    </row>
    <row r="107" spans="3:4" s="27" customFormat="1" ht="12.95" customHeight="1" x14ac:dyDescent="0.2">
      <c r="C107" s="57"/>
      <c r="D107" s="57"/>
    </row>
    <row r="108" spans="3:4" s="27" customFormat="1" ht="12.95" customHeight="1" x14ac:dyDescent="0.2">
      <c r="C108" s="57"/>
      <c r="D108" s="57"/>
    </row>
    <row r="109" spans="3:4" s="27" customFormat="1" ht="12.95" customHeight="1" x14ac:dyDescent="0.2">
      <c r="C109" s="57"/>
      <c r="D109" s="57"/>
    </row>
    <row r="110" spans="3:4" s="27" customFormat="1" ht="12.95" customHeight="1" x14ac:dyDescent="0.2">
      <c r="C110" s="57"/>
      <c r="D110" s="57"/>
    </row>
    <row r="111" spans="3:4" s="27" customFormat="1" ht="12.95" customHeight="1" x14ac:dyDescent="0.2">
      <c r="C111" s="57"/>
      <c r="D111" s="57"/>
    </row>
    <row r="112" spans="3:4" s="27" customFormat="1" ht="12.95" customHeight="1" x14ac:dyDescent="0.2">
      <c r="C112" s="57"/>
      <c r="D112" s="57"/>
    </row>
    <row r="113" spans="3:4" s="27" customFormat="1" ht="12.95" customHeight="1" x14ac:dyDescent="0.2">
      <c r="C113" s="57"/>
      <c r="D113" s="57"/>
    </row>
    <row r="114" spans="3:4" s="27" customFormat="1" ht="12.95" customHeight="1" x14ac:dyDescent="0.2">
      <c r="C114" s="57"/>
      <c r="D114" s="57"/>
    </row>
    <row r="115" spans="3:4" s="27" customFormat="1" ht="12.95" customHeight="1" x14ac:dyDescent="0.2">
      <c r="C115" s="57"/>
      <c r="D115" s="57"/>
    </row>
    <row r="116" spans="3:4" s="27" customFormat="1" ht="12.95" customHeight="1" x14ac:dyDescent="0.2">
      <c r="C116" s="57"/>
      <c r="D116" s="57"/>
    </row>
    <row r="117" spans="3:4" s="27" customFormat="1" ht="12.95" customHeight="1" x14ac:dyDescent="0.2">
      <c r="C117" s="57"/>
      <c r="D117" s="57"/>
    </row>
    <row r="118" spans="3:4" s="27" customFormat="1" ht="12.95" customHeight="1" x14ac:dyDescent="0.2">
      <c r="C118" s="57"/>
      <c r="D118" s="57"/>
    </row>
    <row r="119" spans="3:4" s="27" customFormat="1" ht="12.95" customHeight="1" x14ac:dyDescent="0.2">
      <c r="C119" s="57"/>
      <c r="D119" s="57"/>
    </row>
    <row r="120" spans="3:4" s="27" customFormat="1" ht="12.95" customHeight="1" x14ac:dyDescent="0.2">
      <c r="C120" s="57"/>
      <c r="D120" s="57"/>
    </row>
    <row r="121" spans="3:4" s="27" customFormat="1" ht="12.95" customHeight="1" x14ac:dyDescent="0.2">
      <c r="C121" s="57"/>
      <c r="D121" s="57"/>
    </row>
    <row r="122" spans="3:4" s="27" customFormat="1" ht="12.95" customHeight="1" x14ac:dyDescent="0.2">
      <c r="C122" s="57"/>
      <c r="D122" s="57"/>
    </row>
    <row r="123" spans="3:4" s="27" customFormat="1" ht="12.95" customHeight="1" x14ac:dyDescent="0.2">
      <c r="C123" s="57"/>
      <c r="D123" s="57"/>
    </row>
    <row r="124" spans="3:4" s="27" customFormat="1" ht="12.95" customHeight="1" x14ac:dyDescent="0.2">
      <c r="C124" s="57"/>
      <c r="D124" s="57"/>
    </row>
    <row r="125" spans="3:4" s="27" customFormat="1" ht="12.95" customHeight="1" x14ac:dyDescent="0.2">
      <c r="C125" s="57"/>
      <c r="D125" s="57"/>
    </row>
    <row r="126" spans="3:4" s="27" customFormat="1" ht="12.95" customHeight="1" x14ac:dyDescent="0.2">
      <c r="C126" s="57"/>
      <c r="D126" s="57"/>
    </row>
    <row r="127" spans="3:4" s="27" customFormat="1" ht="12.95" customHeight="1" x14ac:dyDescent="0.2">
      <c r="C127" s="57"/>
      <c r="D127" s="57"/>
    </row>
    <row r="128" spans="3:4" s="27" customFormat="1" ht="12.95" customHeight="1" x14ac:dyDescent="0.2">
      <c r="C128" s="57"/>
      <c r="D128" s="57"/>
    </row>
    <row r="129" spans="3:4" s="27" customFormat="1" ht="12.95" customHeight="1" x14ac:dyDescent="0.2">
      <c r="C129" s="57"/>
      <c r="D129" s="57"/>
    </row>
    <row r="130" spans="3:4" s="27" customFormat="1" ht="12.95" customHeight="1" x14ac:dyDescent="0.2">
      <c r="C130" s="57"/>
      <c r="D130" s="57"/>
    </row>
    <row r="131" spans="3:4" s="27" customFormat="1" ht="12.95" customHeight="1" x14ac:dyDescent="0.2">
      <c r="C131" s="57"/>
      <c r="D131" s="57"/>
    </row>
    <row r="132" spans="3:4" s="27" customFormat="1" ht="12.95" customHeight="1" x14ac:dyDescent="0.2">
      <c r="C132" s="57"/>
      <c r="D132" s="57"/>
    </row>
    <row r="133" spans="3:4" s="27" customFormat="1" ht="12.95" customHeight="1" x14ac:dyDescent="0.2">
      <c r="C133" s="57"/>
      <c r="D133" s="57"/>
    </row>
    <row r="134" spans="3:4" s="27" customFormat="1" ht="12.95" customHeight="1" x14ac:dyDescent="0.2">
      <c r="C134" s="57"/>
      <c r="D134" s="57"/>
    </row>
    <row r="135" spans="3:4" s="27" customFormat="1" ht="12.95" customHeight="1" x14ac:dyDescent="0.2">
      <c r="C135" s="57"/>
      <c r="D135" s="57"/>
    </row>
    <row r="136" spans="3:4" s="27" customFormat="1" ht="12.95" customHeight="1" x14ac:dyDescent="0.2">
      <c r="C136" s="57"/>
      <c r="D136" s="57"/>
    </row>
    <row r="137" spans="3:4" s="27" customFormat="1" ht="12.95" customHeight="1" x14ac:dyDescent="0.2">
      <c r="C137" s="57"/>
      <c r="D137" s="57"/>
    </row>
    <row r="138" spans="3:4" s="27" customFormat="1" ht="12.95" customHeight="1" x14ac:dyDescent="0.2">
      <c r="C138" s="57"/>
      <c r="D138" s="57"/>
    </row>
    <row r="139" spans="3:4" s="27" customFormat="1" ht="12.95" customHeight="1" x14ac:dyDescent="0.2">
      <c r="C139" s="57"/>
      <c r="D139" s="57"/>
    </row>
    <row r="140" spans="3:4" s="27" customFormat="1" ht="12.95" customHeight="1" x14ac:dyDescent="0.2">
      <c r="C140" s="57"/>
      <c r="D140" s="57"/>
    </row>
    <row r="141" spans="3:4" s="27" customFormat="1" ht="12.95" customHeight="1" x14ac:dyDescent="0.2">
      <c r="C141" s="57"/>
      <c r="D141" s="57"/>
    </row>
    <row r="142" spans="3:4" s="27" customFormat="1" ht="12.95" customHeight="1" x14ac:dyDescent="0.2">
      <c r="C142" s="57"/>
      <c r="D142" s="57"/>
    </row>
    <row r="143" spans="3:4" s="27" customFormat="1" ht="12.95" customHeight="1" x14ac:dyDescent="0.2">
      <c r="C143" s="57"/>
      <c r="D143" s="57"/>
    </row>
    <row r="144" spans="3:4" s="27" customFormat="1" ht="12.95" customHeight="1" x14ac:dyDescent="0.2">
      <c r="C144" s="57"/>
      <c r="D144" s="57"/>
    </row>
    <row r="145" spans="3:4" s="27" customFormat="1" ht="12.95" customHeight="1" x14ac:dyDescent="0.2">
      <c r="C145" s="57"/>
      <c r="D145" s="57"/>
    </row>
    <row r="146" spans="3:4" s="27" customFormat="1" ht="12.95" customHeight="1" x14ac:dyDescent="0.2">
      <c r="C146" s="57"/>
      <c r="D146" s="57"/>
    </row>
    <row r="147" spans="3:4" s="27" customFormat="1" ht="12.95" customHeight="1" x14ac:dyDescent="0.2">
      <c r="C147" s="57"/>
      <c r="D147" s="57"/>
    </row>
    <row r="148" spans="3:4" s="27" customFormat="1" ht="12.95" customHeight="1" x14ac:dyDescent="0.2">
      <c r="C148" s="57"/>
      <c r="D148" s="57"/>
    </row>
    <row r="149" spans="3:4" s="27" customFormat="1" ht="12.95" customHeight="1" x14ac:dyDescent="0.2">
      <c r="C149" s="57"/>
      <c r="D149" s="57"/>
    </row>
    <row r="150" spans="3:4" s="27" customFormat="1" ht="12.95" customHeight="1" x14ac:dyDescent="0.2">
      <c r="C150" s="57"/>
      <c r="D150" s="57"/>
    </row>
    <row r="151" spans="3:4" s="27" customFormat="1" ht="12.95" customHeight="1" x14ac:dyDescent="0.2">
      <c r="C151" s="57"/>
      <c r="D151" s="57"/>
    </row>
    <row r="152" spans="3:4" s="27" customFormat="1" ht="12.95" customHeight="1" x14ac:dyDescent="0.2">
      <c r="C152" s="57"/>
      <c r="D152" s="57"/>
    </row>
    <row r="153" spans="3:4" s="27" customFormat="1" ht="12.95" customHeight="1" x14ac:dyDescent="0.2">
      <c r="C153" s="57"/>
      <c r="D153" s="57"/>
    </row>
    <row r="154" spans="3:4" s="27" customFormat="1" ht="12.95" customHeight="1" x14ac:dyDescent="0.2">
      <c r="C154" s="57"/>
      <c r="D154" s="57"/>
    </row>
    <row r="155" spans="3:4" s="27" customFormat="1" ht="12.95" customHeight="1" x14ac:dyDescent="0.2">
      <c r="C155" s="57"/>
      <c r="D155" s="57"/>
    </row>
    <row r="156" spans="3:4" s="27" customFormat="1" ht="12.95" customHeight="1" x14ac:dyDescent="0.2">
      <c r="C156" s="57"/>
      <c r="D156" s="57"/>
    </row>
    <row r="157" spans="3:4" s="27" customFormat="1" ht="12.95" customHeight="1" x14ac:dyDescent="0.2">
      <c r="C157" s="57"/>
      <c r="D157" s="57"/>
    </row>
    <row r="158" spans="3:4" s="27" customFormat="1" ht="12.95" customHeight="1" x14ac:dyDescent="0.2">
      <c r="C158" s="57"/>
      <c r="D158" s="57"/>
    </row>
    <row r="159" spans="3:4" s="27" customFormat="1" ht="12.95" customHeight="1" x14ac:dyDescent="0.2">
      <c r="C159" s="57"/>
      <c r="D159" s="57"/>
    </row>
    <row r="160" spans="3:4" s="27" customFormat="1" ht="12.95" customHeight="1" x14ac:dyDescent="0.2">
      <c r="C160" s="57"/>
      <c r="D160" s="57"/>
    </row>
    <row r="161" spans="3:4" s="27" customFormat="1" ht="12.95" customHeight="1" x14ac:dyDescent="0.2">
      <c r="C161" s="57"/>
      <c r="D161" s="57"/>
    </row>
    <row r="162" spans="3:4" s="27" customFormat="1" ht="12.95" customHeight="1" x14ac:dyDescent="0.2">
      <c r="C162" s="57"/>
      <c r="D162" s="57"/>
    </row>
    <row r="163" spans="3:4" s="27" customFormat="1" ht="12.95" customHeight="1" x14ac:dyDescent="0.2">
      <c r="C163" s="57"/>
      <c r="D163" s="57"/>
    </row>
    <row r="164" spans="3:4" s="27" customFormat="1" ht="12.95" customHeight="1" x14ac:dyDescent="0.2">
      <c r="C164" s="57"/>
      <c r="D164" s="57"/>
    </row>
    <row r="165" spans="3:4" s="27" customFormat="1" ht="12.95" customHeight="1" x14ac:dyDescent="0.2">
      <c r="C165" s="57"/>
      <c r="D165" s="57"/>
    </row>
    <row r="166" spans="3:4" s="27" customFormat="1" ht="12.95" customHeight="1" x14ac:dyDescent="0.2">
      <c r="C166" s="57"/>
      <c r="D166" s="57"/>
    </row>
    <row r="167" spans="3:4" s="27" customFormat="1" ht="12.95" customHeight="1" x14ac:dyDescent="0.2">
      <c r="C167" s="57"/>
      <c r="D167" s="57"/>
    </row>
    <row r="168" spans="3:4" s="27" customFormat="1" ht="12.95" customHeight="1" x14ac:dyDescent="0.2">
      <c r="C168" s="57"/>
      <c r="D168" s="57"/>
    </row>
    <row r="169" spans="3:4" s="27" customFormat="1" ht="12.95" customHeight="1" x14ac:dyDescent="0.2">
      <c r="C169" s="57"/>
      <c r="D169" s="57"/>
    </row>
    <row r="170" spans="3:4" s="27" customFormat="1" ht="12.95" customHeight="1" x14ac:dyDescent="0.2">
      <c r="C170" s="57"/>
      <c r="D170" s="57"/>
    </row>
    <row r="171" spans="3:4" s="27" customFormat="1" ht="12.95" customHeight="1" x14ac:dyDescent="0.2">
      <c r="C171" s="57"/>
      <c r="D171" s="57"/>
    </row>
    <row r="172" spans="3:4" s="27" customFormat="1" ht="12.95" customHeight="1" x14ac:dyDescent="0.2">
      <c r="C172" s="57"/>
      <c r="D172" s="57"/>
    </row>
    <row r="173" spans="3:4" s="27" customFormat="1" ht="12.95" customHeight="1" x14ac:dyDescent="0.2">
      <c r="C173" s="57"/>
      <c r="D173" s="57"/>
    </row>
    <row r="174" spans="3:4" s="27" customFormat="1" ht="12.95" customHeight="1" x14ac:dyDescent="0.2">
      <c r="C174" s="57"/>
      <c r="D174" s="57"/>
    </row>
    <row r="175" spans="3:4" s="27" customFormat="1" ht="12.95" customHeight="1" x14ac:dyDescent="0.2">
      <c r="C175" s="57"/>
      <c r="D175" s="57"/>
    </row>
    <row r="176" spans="3:4" s="27" customFormat="1" ht="12.95" customHeight="1" x14ac:dyDescent="0.2">
      <c r="C176" s="57"/>
      <c r="D176" s="57"/>
    </row>
    <row r="177" spans="3:4" s="27" customFormat="1" ht="12.95" customHeight="1" x14ac:dyDescent="0.2">
      <c r="C177" s="57"/>
      <c r="D177" s="57"/>
    </row>
    <row r="178" spans="3:4" s="27" customFormat="1" ht="12.95" customHeight="1" x14ac:dyDescent="0.2">
      <c r="C178" s="57"/>
      <c r="D178" s="57"/>
    </row>
    <row r="179" spans="3:4" s="27" customFormat="1" ht="12.95" customHeight="1" x14ac:dyDescent="0.2">
      <c r="C179" s="57"/>
      <c r="D179" s="57"/>
    </row>
    <row r="180" spans="3:4" s="27" customFormat="1" ht="12.95" customHeight="1" x14ac:dyDescent="0.2">
      <c r="C180" s="57"/>
      <c r="D180" s="57"/>
    </row>
    <row r="181" spans="3:4" s="27" customFormat="1" ht="12.95" customHeight="1" x14ac:dyDescent="0.2">
      <c r="C181" s="57"/>
      <c r="D181" s="57"/>
    </row>
    <row r="182" spans="3:4" s="27" customFormat="1" ht="12.95" customHeight="1" x14ac:dyDescent="0.2">
      <c r="C182" s="57"/>
      <c r="D182" s="57"/>
    </row>
    <row r="183" spans="3:4" s="27" customFormat="1" ht="12.95" customHeight="1" x14ac:dyDescent="0.2">
      <c r="C183" s="57"/>
      <c r="D183" s="57"/>
    </row>
    <row r="184" spans="3:4" s="27" customFormat="1" ht="12.95" customHeight="1" x14ac:dyDescent="0.2">
      <c r="C184" s="57"/>
      <c r="D184" s="57"/>
    </row>
    <row r="185" spans="3:4" s="27" customFormat="1" ht="12.95" customHeight="1" x14ac:dyDescent="0.2">
      <c r="C185" s="57"/>
      <c r="D185" s="57"/>
    </row>
    <row r="186" spans="3:4" s="27" customFormat="1" ht="12.95" customHeight="1" x14ac:dyDescent="0.2">
      <c r="C186" s="57"/>
      <c r="D186" s="57"/>
    </row>
    <row r="187" spans="3:4" s="27" customFormat="1" ht="12.95" customHeight="1" x14ac:dyDescent="0.2">
      <c r="C187" s="57"/>
      <c r="D187" s="57"/>
    </row>
    <row r="188" spans="3:4" s="27" customFormat="1" ht="12.95" customHeight="1" x14ac:dyDescent="0.2">
      <c r="C188" s="57"/>
      <c r="D188" s="57"/>
    </row>
    <row r="189" spans="3:4" s="27" customFormat="1" ht="12.95" customHeight="1" x14ac:dyDescent="0.2">
      <c r="C189" s="57"/>
      <c r="D189" s="57"/>
    </row>
    <row r="190" spans="3:4" s="27" customFormat="1" ht="12.95" customHeight="1" x14ac:dyDescent="0.2">
      <c r="C190" s="57"/>
      <c r="D190" s="57"/>
    </row>
    <row r="191" spans="3:4" s="27" customFormat="1" ht="12.95" customHeight="1" x14ac:dyDescent="0.2">
      <c r="C191" s="57"/>
      <c r="D191" s="57"/>
    </row>
    <row r="192" spans="3:4" s="27" customFormat="1" ht="12.95" customHeight="1" x14ac:dyDescent="0.2">
      <c r="C192" s="57"/>
      <c r="D192" s="57"/>
    </row>
    <row r="193" spans="3:4" s="27" customFormat="1" ht="12.95" customHeight="1" x14ac:dyDescent="0.2">
      <c r="C193" s="57"/>
      <c r="D193" s="57"/>
    </row>
    <row r="194" spans="3:4" s="27" customFormat="1" ht="12.95" customHeight="1" x14ac:dyDescent="0.2">
      <c r="C194" s="57"/>
      <c r="D194" s="57"/>
    </row>
    <row r="195" spans="3:4" s="27" customFormat="1" ht="12.95" customHeight="1" x14ac:dyDescent="0.2">
      <c r="C195" s="57"/>
      <c r="D195" s="57"/>
    </row>
    <row r="196" spans="3:4" s="27" customFormat="1" ht="12.95" customHeight="1" x14ac:dyDescent="0.2">
      <c r="C196" s="57"/>
      <c r="D196" s="57"/>
    </row>
    <row r="197" spans="3:4" s="27" customFormat="1" ht="12.95" customHeight="1" x14ac:dyDescent="0.2">
      <c r="C197" s="57"/>
      <c r="D197" s="57"/>
    </row>
    <row r="198" spans="3:4" s="27" customFormat="1" ht="12.95" customHeight="1" x14ac:dyDescent="0.2">
      <c r="C198" s="57"/>
      <c r="D198" s="57"/>
    </row>
    <row r="199" spans="3:4" s="27" customFormat="1" ht="12.95" customHeight="1" x14ac:dyDescent="0.2">
      <c r="C199" s="57"/>
      <c r="D199" s="57"/>
    </row>
    <row r="200" spans="3:4" s="27" customFormat="1" ht="12.95" customHeight="1" x14ac:dyDescent="0.2">
      <c r="C200" s="57"/>
      <c r="D200" s="57"/>
    </row>
    <row r="201" spans="3:4" s="27" customFormat="1" ht="12.95" customHeight="1" x14ac:dyDescent="0.2">
      <c r="C201" s="57"/>
      <c r="D201" s="57"/>
    </row>
    <row r="202" spans="3:4" s="27" customFormat="1" ht="12.95" customHeight="1" x14ac:dyDescent="0.2">
      <c r="C202" s="57"/>
      <c r="D202" s="57"/>
    </row>
    <row r="203" spans="3:4" s="27" customFormat="1" ht="12.95" customHeight="1" x14ac:dyDescent="0.2">
      <c r="C203" s="57"/>
      <c r="D203" s="57"/>
    </row>
    <row r="204" spans="3:4" s="27" customFormat="1" ht="12.95" customHeight="1" x14ac:dyDescent="0.2">
      <c r="C204" s="57"/>
      <c r="D204" s="57"/>
    </row>
    <row r="205" spans="3:4" s="27" customFormat="1" ht="12.95" customHeight="1" x14ac:dyDescent="0.2">
      <c r="C205" s="57"/>
      <c r="D205" s="57"/>
    </row>
    <row r="206" spans="3:4" s="27" customFormat="1" ht="12.95" customHeight="1" x14ac:dyDescent="0.2">
      <c r="C206" s="57"/>
      <c r="D206" s="57"/>
    </row>
    <row r="207" spans="3:4" s="27" customFormat="1" ht="12.95" customHeight="1" x14ac:dyDescent="0.2">
      <c r="C207" s="57"/>
      <c r="D207" s="57"/>
    </row>
    <row r="208" spans="3:4" s="27" customFormat="1" ht="12.95" customHeight="1" x14ac:dyDescent="0.2">
      <c r="C208" s="57"/>
      <c r="D208" s="57"/>
    </row>
    <row r="209" spans="3:4" s="27" customFormat="1" ht="12.95" customHeight="1" x14ac:dyDescent="0.2">
      <c r="C209" s="57"/>
      <c r="D209" s="57"/>
    </row>
    <row r="210" spans="3:4" s="27" customFormat="1" ht="12.95" customHeight="1" x14ac:dyDescent="0.2">
      <c r="C210" s="57"/>
      <c r="D210" s="57"/>
    </row>
    <row r="211" spans="3:4" s="27" customFormat="1" ht="12.95" customHeight="1" x14ac:dyDescent="0.2">
      <c r="C211" s="57"/>
      <c r="D211" s="57"/>
    </row>
    <row r="212" spans="3:4" s="27" customFormat="1" ht="12.95" customHeight="1" x14ac:dyDescent="0.2">
      <c r="C212" s="57"/>
      <c r="D212" s="57"/>
    </row>
    <row r="213" spans="3:4" s="27" customFormat="1" ht="12.95" customHeight="1" x14ac:dyDescent="0.2">
      <c r="C213" s="57"/>
      <c r="D213" s="57"/>
    </row>
    <row r="214" spans="3:4" s="27" customFormat="1" ht="12.95" customHeight="1" x14ac:dyDescent="0.2">
      <c r="C214" s="57"/>
      <c r="D214" s="57"/>
    </row>
    <row r="215" spans="3:4" s="27" customFormat="1" ht="12.95" customHeight="1" x14ac:dyDescent="0.2">
      <c r="C215" s="57"/>
      <c r="D215" s="57"/>
    </row>
    <row r="216" spans="3:4" s="27" customFormat="1" ht="12.95" customHeight="1" x14ac:dyDescent="0.2">
      <c r="C216" s="57"/>
      <c r="D216" s="57"/>
    </row>
    <row r="217" spans="3:4" s="27" customFormat="1" ht="12.95" customHeight="1" x14ac:dyDescent="0.2">
      <c r="C217" s="57"/>
      <c r="D217" s="57"/>
    </row>
    <row r="218" spans="3:4" s="27" customFormat="1" ht="12.95" customHeight="1" x14ac:dyDescent="0.2">
      <c r="C218" s="57"/>
      <c r="D218" s="57"/>
    </row>
    <row r="219" spans="3:4" s="27" customFormat="1" ht="12.95" customHeight="1" x14ac:dyDescent="0.2">
      <c r="C219" s="57"/>
      <c r="D219" s="57"/>
    </row>
    <row r="220" spans="3:4" s="27" customFormat="1" ht="12.95" customHeight="1" x14ac:dyDescent="0.2">
      <c r="C220" s="57"/>
      <c r="D220" s="57"/>
    </row>
    <row r="221" spans="3:4" s="27" customFormat="1" ht="12.95" customHeight="1" x14ac:dyDescent="0.2">
      <c r="C221" s="57"/>
      <c r="D221" s="57"/>
    </row>
    <row r="222" spans="3:4" s="27" customFormat="1" ht="12.95" customHeight="1" x14ac:dyDescent="0.2">
      <c r="C222" s="57"/>
      <c r="D222" s="57"/>
    </row>
    <row r="223" spans="3:4" s="27" customFormat="1" ht="12.95" customHeight="1" x14ac:dyDescent="0.2">
      <c r="C223" s="57"/>
      <c r="D223" s="57"/>
    </row>
    <row r="224" spans="3:4" s="27" customFormat="1" ht="12.95" customHeight="1" x14ac:dyDescent="0.2">
      <c r="C224" s="57"/>
      <c r="D224" s="57"/>
    </row>
    <row r="225" spans="3:4" s="27" customFormat="1" ht="12.95" customHeight="1" x14ac:dyDescent="0.2">
      <c r="C225" s="57"/>
      <c r="D225" s="57"/>
    </row>
    <row r="226" spans="3:4" s="27" customFormat="1" ht="12.95" customHeight="1" x14ac:dyDescent="0.2">
      <c r="C226" s="57"/>
      <c r="D226" s="57"/>
    </row>
    <row r="227" spans="3:4" s="27" customFormat="1" ht="12.95" customHeight="1" x14ac:dyDescent="0.2">
      <c r="C227" s="57"/>
      <c r="D227" s="57"/>
    </row>
    <row r="228" spans="3:4" s="27" customFormat="1" ht="12.95" customHeight="1" x14ac:dyDescent="0.2">
      <c r="C228" s="57"/>
      <c r="D228" s="57"/>
    </row>
    <row r="229" spans="3:4" s="27" customFormat="1" ht="12.95" customHeight="1" x14ac:dyDescent="0.2">
      <c r="C229" s="57"/>
      <c r="D229" s="57"/>
    </row>
    <row r="230" spans="3:4" s="27" customFormat="1" ht="12.95" customHeight="1" x14ac:dyDescent="0.2">
      <c r="C230" s="57"/>
      <c r="D230" s="57"/>
    </row>
    <row r="231" spans="3:4" s="27" customFormat="1" ht="12.95" customHeight="1" x14ac:dyDescent="0.2">
      <c r="C231" s="57"/>
      <c r="D231" s="57"/>
    </row>
    <row r="232" spans="3:4" s="27" customFormat="1" ht="12.95" customHeight="1" x14ac:dyDescent="0.2">
      <c r="C232" s="57"/>
      <c r="D232" s="57"/>
    </row>
    <row r="233" spans="3:4" s="27" customFormat="1" ht="12.95" customHeight="1" x14ac:dyDescent="0.2">
      <c r="C233" s="57"/>
      <c r="D233" s="57"/>
    </row>
    <row r="234" spans="3:4" s="27" customFormat="1" ht="12.95" customHeight="1" x14ac:dyDescent="0.2">
      <c r="C234" s="57"/>
      <c r="D234" s="57"/>
    </row>
    <row r="235" spans="3:4" s="27" customFormat="1" ht="12.95" customHeight="1" x14ac:dyDescent="0.2">
      <c r="C235" s="57"/>
      <c r="D235" s="57"/>
    </row>
    <row r="236" spans="3:4" s="27" customFormat="1" ht="12.95" customHeight="1" x14ac:dyDescent="0.2">
      <c r="C236" s="57"/>
      <c r="D236" s="57"/>
    </row>
    <row r="237" spans="3:4" s="27" customFormat="1" ht="12.95" customHeight="1" x14ac:dyDescent="0.2">
      <c r="C237" s="57"/>
      <c r="D237" s="57"/>
    </row>
    <row r="238" spans="3:4" s="27" customFormat="1" ht="12.95" customHeight="1" x14ac:dyDescent="0.2">
      <c r="C238" s="57"/>
      <c r="D238" s="57"/>
    </row>
    <row r="239" spans="3:4" s="27" customFormat="1" ht="12.95" customHeight="1" x14ac:dyDescent="0.2">
      <c r="C239" s="57"/>
      <c r="D239" s="57"/>
    </row>
    <row r="240" spans="3:4" s="27" customFormat="1" ht="12.95" customHeight="1" x14ac:dyDescent="0.2">
      <c r="C240" s="57"/>
      <c r="D240" s="57"/>
    </row>
    <row r="241" spans="3:4" s="27" customFormat="1" ht="12.95" customHeight="1" x14ac:dyDescent="0.2">
      <c r="C241" s="57"/>
      <c r="D241" s="57"/>
    </row>
    <row r="242" spans="3:4" s="27" customFormat="1" ht="12.95" customHeight="1" x14ac:dyDescent="0.2">
      <c r="C242" s="57"/>
      <c r="D242" s="57"/>
    </row>
    <row r="243" spans="3:4" s="27" customFormat="1" ht="12.95" customHeight="1" x14ac:dyDescent="0.2">
      <c r="C243" s="57"/>
      <c r="D243" s="57"/>
    </row>
    <row r="244" spans="3:4" s="27" customFormat="1" ht="12.95" customHeight="1" x14ac:dyDescent="0.2">
      <c r="C244" s="57"/>
      <c r="D244" s="57"/>
    </row>
    <row r="245" spans="3:4" s="27" customFormat="1" ht="12.95" customHeight="1" x14ac:dyDescent="0.2">
      <c r="C245" s="57"/>
      <c r="D245" s="57"/>
    </row>
    <row r="246" spans="3:4" s="27" customFormat="1" ht="12.95" customHeight="1" x14ac:dyDescent="0.2">
      <c r="C246" s="57"/>
      <c r="D246" s="57"/>
    </row>
    <row r="247" spans="3:4" s="27" customFormat="1" ht="12.95" customHeight="1" x14ac:dyDescent="0.2">
      <c r="C247" s="57"/>
      <c r="D247" s="57"/>
    </row>
    <row r="248" spans="3:4" s="27" customFormat="1" ht="12.95" customHeight="1" x14ac:dyDescent="0.2">
      <c r="C248" s="57"/>
      <c r="D248" s="57"/>
    </row>
    <row r="249" spans="3:4" s="27" customFormat="1" ht="12.95" customHeight="1" x14ac:dyDescent="0.2">
      <c r="C249" s="57"/>
      <c r="D249" s="57"/>
    </row>
    <row r="250" spans="3:4" s="27" customFormat="1" ht="12.95" customHeight="1" x14ac:dyDescent="0.2">
      <c r="C250" s="57"/>
      <c r="D250" s="57"/>
    </row>
    <row r="251" spans="3:4" s="27" customFormat="1" ht="12.95" customHeight="1" x14ac:dyDescent="0.2">
      <c r="C251" s="57"/>
      <c r="D251" s="57"/>
    </row>
    <row r="252" spans="3:4" s="27" customFormat="1" ht="12.95" customHeight="1" x14ac:dyDescent="0.2">
      <c r="C252" s="57"/>
      <c r="D252" s="57"/>
    </row>
    <row r="253" spans="3:4" s="27" customFormat="1" ht="12.95" customHeight="1" x14ac:dyDescent="0.2">
      <c r="C253" s="57"/>
      <c r="D253" s="57"/>
    </row>
    <row r="254" spans="3:4" s="27" customFormat="1" ht="12.95" customHeight="1" x14ac:dyDescent="0.2">
      <c r="C254" s="57"/>
      <c r="D254" s="57"/>
    </row>
    <row r="255" spans="3:4" s="27" customFormat="1" ht="12.95" customHeight="1" x14ac:dyDescent="0.2">
      <c r="C255" s="57"/>
      <c r="D255" s="57"/>
    </row>
    <row r="256" spans="3:4" s="27" customFormat="1" ht="12.95" customHeight="1" x14ac:dyDescent="0.2">
      <c r="C256" s="57"/>
      <c r="D256" s="57"/>
    </row>
    <row r="257" spans="3:4" s="27" customFormat="1" ht="12.95" customHeight="1" x14ac:dyDescent="0.2">
      <c r="C257" s="57"/>
      <c r="D257" s="57"/>
    </row>
    <row r="258" spans="3:4" s="27" customFormat="1" ht="12.95" customHeight="1" x14ac:dyDescent="0.2">
      <c r="C258" s="57"/>
      <c r="D258" s="57"/>
    </row>
    <row r="259" spans="3:4" s="27" customFormat="1" ht="12.95" customHeight="1" x14ac:dyDescent="0.2">
      <c r="C259" s="57"/>
      <c r="D259" s="57"/>
    </row>
    <row r="260" spans="3:4" s="27" customFormat="1" ht="12.95" customHeight="1" x14ac:dyDescent="0.2">
      <c r="C260" s="57"/>
      <c r="D260" s="57"/>
    </row>
    <row r="261" spans="3:4" s="27" customFormat="1" ht="12.95" customHeight="1" x14ac:dyDescent="0.2">
      <c r="C261" s="57"/>
      <c r="D261" s="57"/>
    </row>
    <row r="262" spans="3:4" s="27" customFormat="1" ht="12.95" customHeight="1" x14ac:dyDescent="0.2">
      <c r="C262" s="57"/>
      <c r="D262" s="57"/>
    </row>
    <row r="263" spans="3:4" s="27" customFormat="1" ht="12.95" customHeight="1" x14ac:dyDescent="0.2">
      <c r="C263" s="57"/>
      <c r="D263" s="57"/>
    </row>
    <row r="264" spans="3:4" s="27" customFormat="1" ht="12.95" customHeight="1" x14ac:dyDescent="0.2">
      <c r="C264" s="57"/>
      <c r="D264" s="57"/>
    </row>
    <row r="265" spans="3:4" s="27" customFormat="1" ht="12.95" customHeight="1" x14ac:dyDescent="0.2">
      <c r="C265" s="57"/>
      <c r="D265" s="57"/>
    </row>
    <row r="266" spans="3:4" s="27" customFormat="1" ht="12.95" customHeight="1" x14ac:dyDescent="0.2">
      <c r="C266" s="57"/>
      <c r="D266" s="57"/>
    </row>
    <row r="267" spans="3:4" s="27" customFormat="1" ht="12.95" customHeight="1" x14ac:dyDescent="0.2">
      <c r="C267" s="57"/>
      <c r="D267" s="57"/>
    </row>
    <row r="268" spans="3:4" s="27" customFormat="1" ht="12.95" customHeight="1" x14ac:dyDescent="0.2">
      <c r="C268" s="57"/>
      <c r="D268" s="57"/>
    </row>
    <row r="269" spans="3:4" s="27" customFormat="1" ht="12.95" customHeight="1" x14ac:dyDescent="0.2">
      <c r="C269" s="57"/>
      <c r="D269" s="57"/>
    </row>
    <row r="270" spans="3:4" s="27" customFormat="1" ht="12.95" customHeight="1" x14ac:dyDescent="0.2">
      <c r="C270" s="57"/>
      <c r="D270" s="57"/>
    </row>
    <row r="271" spans="3:4" s="27" customFormat="1" ht="12.95" customHeight="1" x14ac:dyDescent="0.2">
      <c r="C271" s="57"/>
      <c r="D271" s="57"/>
    </row>
    <row r="272" spans="3:4" s="27" customFormat="1" ht="12.95" customHeight="1" x14ac:dyDescent="0.2">
      <c r="C272" s="57"/>
      <c r="D272" s="57"/>
    </row>
    <row r="273" spans="3:4" s="27" customFormat="1" ht="12.95" customHeight="1" x14ac:dyDescent="0.2">
      <c r="C273" s="57"/>
      <c r="D273" s="57"/>
    </row>
    <row r="274" spans="3:4" s="27" customFormat="1" ht="12.95" customHeight="1" x14ac:dyDescent="0.2">
      <c r="C274" s="57"/>
      <c r="D274" s="57"/>
    </row>
    <row r="275" spans="3:4" s="27" customFormat="1" ht="12.95" customHeight="1" x14ac:dyDescent="0.2">
      <c r="C275" s="57"/>
      <c r="D275" s="57"/>
    </row>
    <row r="276" spans="3:4" s="27" customFormat="1" ht="12.95" customHeight="1" x14ac:dyDescent="0.2">
      <c r="C276" s="57"/>
      <c r="D276" s="57"/>
    </row>
    <row r="277" spans="3:4" s="27" customFormat="1" ht="12.95" customHeight="1" x14ac:dyDescent="0.2">
      <c r="C277" s="57"/>
      <c r="D277" s="57"/>
    </row>
    <row r="278" spans="3:4" s="27" customFormat="1" ht="12.95" customHeight="1" x14ac:dyDescent="0.2">
      <c r="C278" s="57"/>
      <c r="D278" s="57"/>
    </row>
    <row r="279" spans="3:4" s="27" customFormat="1" ht="12.95" customHeight="1" x14ac:dyDescent="0.2">
      <c r="C279" s="57"/>
      <c r="D279" s="57"/>
    </row>
    <row r="280" spans="3:4" s="27" customFormat="1" ht="12.95" customHeight="1" x14ac:dyDescent="0.2">
      <c r="C280" s="57"/>
      <c r="D280" s="57"/>
    </row>
    <row r="281" spans="3:4" s="27" customFormat="1" ht="12.95" customHeight="1" x14ac:dyDescent="0.2">
      <c r="C281" s="57"/>
      <c r="D281" s="57"/>
    </row>
    <row r="282" spans="3:4" s="27" customFormat="1" ht="12.95" customHeight="1" x14ac:dyDescent="0.2">
      <c r="C282" s="57"/>
      <c r="D282" s="57"/>
    </row>
    <row r="283" spans="3:4" s="27" customFormat="1" ht="12.95" customHeight="1" x14ac:dyDescent="0.2">
      <c r="C283" s="57"/>
      <c r="D283" s="57"/>
    </row>
    <row r="284" spans="3:4" s="27" customFormat="1" ht="12.95" customHeight="1" x14ac:dyDescent="0.2">
      <c r="C284" s="57"/>
      <c r="D284" s="57"/>
    </row>
    <row r="285" spans="3:4" s="27" customFormat="1" ht="12.95" customHeight="1" x14ac:dyDescent="0.2">
      <c r="C285" s="57"/>
      <c r="D285" s="57"/>
    </row>
    <row r="286" spans="3:4" s="27" customFormat="1" ht="12.95" customHeight="1" x14ac:dyDescent="0.2">
      <c r="C286" s="57"/>
      <c r="D286" s="57"/>
    </row>
    <row r="287" spans="3:4" s="27" customFormat="1" ht="12.95" customHeight="1" x14ac:dyDescent="0.2">
      <c r="C287" s="57"/>
      <c r="D287" s="57"/>
    </row>
    <row r="288" spans="3:4" s="27" customFormat="1" ht="12.95" customHeight="1" x14ac:dyDescent="0.2">
      <c r="C288" s="57"/>
      <c r="D288" s="57"/>
    </row>
    <row r="289" spans="3:4" s="27" customFormat="1" ht="12.95" customHeight="1" x14ac:dyDescent="0.2">
      <c r="C289" s="57"/>
      <c r="D289" s="57"/>
    </row>
    <row r="290" spans="3:4" s="27" customFormat="1" ht="12.95" customHeight="1" x14ac:dyDescent="0.2">
      <c r="C290" s="57"/>
      <c r="D290" s="57"/>
    </row>
    <row r="291" spans="3:4" s="27" customFormat="1" ht="12.95" customHeight="1" x14ac:dyDescent="0.2">
      <c r="C291" s="57"/>
      <c r="D291" s="57"/>
    </row>
    <row r="292" spans="3:4" s="27" customFormat="1" ht="12.95" customHeight="1" x14ac:dyDescent="0.2">
      <c r="C292" s="57"/>
      <c r="D292" s="57"/>
    </row>
    <row r="293" spans="3:4" s="27" customFormat="1" ht="12.95" customHeight="1" x14ac:dyDescent="0.2">
      <c r="C293" s="57"/>
      <c r="D293" s="57"/>
    </row>
    <row r="294" spans="3:4" s="27" customFormat="1" ht="12.95" customHeight="1" x14ac:dyDescent="0.2">
      <c r="C294" s="57"/>
      <c r="D294" s="57"/>
    </row>
    <row r="295" spans="3:4" s="27" customFormat="1" ht="12.95" customHeight="1" x14ac:dyDescent="0.2">
      <c r="C295" s="57"/>
      <c r="D295" s="57"/>
    </row>
    <row r="296" spans="3:4" s="27" customFormat="1" ht="12.95" customHeight="1" x14ac:dyDescent="0.2">
      <c r="C296" s="57"/>
      <c r="D296" s="57"/>
    </row>
    <row r="297" spans="3:4" s="27" customFormat="1" ht="12.95" customHeight="1" x14ac:dyDescent="0.2">
      <c r="C297" s="57"/>
      <c r="D297" s="57"/>
    </row>
    <row r="298" spans="3:4" s="27" customFormat="1" ht="12.95" customHeight="1" x14ac:dyDescent="0.2">
      <c r="C298" s="57"/>
      <c r="D298" s="57"/>
    </row>
    <row r="299" spans="3:4" s="27" customFormat="1" ht="12.95" customHeight="1" x14ac:dyDescent="0.2">
      <c r="C299" s="57"/>
      <c r="D299" s="57"/>
    </row>
    <row r="300" spans="3:4" s="27" customFormat="1" ht="12.95" customHeight="1" x14ac:dyDescent="0.2">
      <c r="C300" s="57"/>
      <c r="D300" s="57"/>
    </row>
    <row r="301" spans="3:4" s="27" customFormat="1" ht="12.95" customHeight="1" x14ac:dyDescent="0.2">
      <c r="C301" s="57"/>
      <c r="D301" s="57"/>
    </row>
    <row r="302" spans="3:4" s="27" customFormat="1" ht="12.95" customHeight="1" x14ac:dyDescent="0.2">
      <c r="C302" s="57"/>
      <c r="D302" s="57"/>
    </row>
    <row r="303" spans="3:4" s="27" customFormat="1" ht="12.95" customHeight="1" x14ac:dyDescent="0.2">
      <c r="C303" s="57"/>
      <c r="D303" s="57"/>
    </row>
    <row r="304" spans="3:4" s="27" customFormat="1" ht="12.95" customHeight="1" x14ac:dyDescent="0.2">
      <c r="C304" s="57"/>
      <c r="D304" s="57"/>
    </row>
    <row r="305" spans="3:4" s="27" customFormat="1" ht="12.95" customHeight="1" x14ac:dyDescent="0.2">
      <c r="C305" s="57"/>
      <c r="D305" s="57"/>
    </row>
    <row r="306" spans="3:4" s="27" customFormat="1" ht="12.95" customHeight="1" x14ac:dyDescent="0.2">
      <c r="C306" s="57"/>
      <c r="D306" s="57"/>
    </row>
    <row r="307" spans="3:4" s="27" customFormat="1" ht="12.95" customHeight="1" x14ac:dyDescent="0.2">
      <c r="C307" s="57"/>
      <c r="D307" s="57"/>
    </row>
    <row r="308" spans="3:4" s="27" customFormat="1" ht="12.95" customHeight="1" x14ac:dyDescent="0.2">
      <c r="C308" s="57"/>
      <c r="D308" s="57"/>
    </row>
    <row r="309" spans="3:4" s="27" customFormat="1" ht="12.95" customHeight="1" x14ac:dyDescent="0.2">
      <c r="C309" s="57"/>
      <c r="D309" s="57"/>
    </row>
    <row r="310" spans="3:4" s="27" customFormat="1" ht="12.95" customHeight="1" x14ac:dyDescent="0.2">
      <c r="C310" s="57"/>
      <c r="D310" s="57"/>
    </row>
    <row r="311" spans="3:4" s="27" customFormat="1" ht="12.95" customHeight="1" x14ac:dyDescent="0.2">
      <c r="C311" s="57"/>
      <c r="D311" s="57"/>
    </row>
    <row r="312" spans="3:4" s="27" customFormat="1" ht="12.95" customHeight="1" x14ac:dyDescent="0.2">
      <c r="C312" s="57"/>
      <c r="D312" s="57"/>
    </row>
    <row r="313" spans="3:4" s="27" customFormat="1" ht="12.95" customHeight="1" x14ac:dyDescent="0.2">
      <c r="C313" s="57"/>
      <c r="D313" s="57"/>
    </row>
    <row r="314" spans="3:4" s="27" customFormat="1" ht="12.95" customHeight="1" x14ac:dyDescent="0.2">
      <c r="C314" s="57"/>
      <c r="D314" s="57"/>
    </row>
    <row r="315" spans="3:4" s="27" customFormat="1" ht="12.95" customHeight="1" x14ac:dyDescent="0.2">
      <c r="C315" s="57"/>
      <c r="D315" s="57"/>
    </row>
    <row r="316" spans="3:4" s="27" customFormat="1" ht="12.95" customHeight="1" x14ac:dyDescent="0.2">
      <c r="C316" s="57"/>
      <c r="D316" s="57"/>
    </row>
    <row r="317" spans="3:4" s="27" customFormat="1" ht="12.95" customHeight="1" x14ac:dyDescent="0.2">
      <c r="C317" s="57"/>
      <c r="D317" s="57"/>
    </row>
    <row r="318" spans="3:4" s="27" customFormat="1" ht="12.95" customHeight="1" x14ac:dyDescent="0.2">
      <c r="C318" s="57"/>
      <c r="D318" s="57"/>
    </row>
    <row r="319" spans="3:4" s="27" customFormat="1" ht="12.95" customHeight="1" x14ac:dyDescent="0.2">
      <c r="C319" s="57"/>
      <c r="D319" s="57"/>
    </row>
    <row r="320" spans="3:4" s="27" customFormat="1" ht="12.95" customHeight="1" x14ac:dyDescent="0.2">
      <c r="C320" s="57"/>
      <c r="D320" s="57"/>
    </row>
    <row r="321" spans="3:4" s="27" customFormat="1" ht="12.95" customHeight="1" x14ac:dyDescent="0.2">
      <c r="C321" s="57"/>
      <c r="D321" s="57"/>
    </row>
    <row r="322" spans="3:4" s="27" customFormat="1" ht="12.95" customHeight="1" x14ac:dyDescent="0.2">
      <c r="C322" s="57"/>
      <c r="D322" s="57"/>
    </row>
    <row r="323" spans="3:4" s="27" customFormat="1" ht="12.95" customHeight="1" x14ac:dyDescent="0.2">
      <c r="C323" s="57"/>
      <c r="D323" s="57"/>
    </row>
    <row r="324" spans="3:4" s="27" customFormat="1" ht="12.95" customHeight="1" x14ac:dyDescent="0.2">
      <c r="C324" s="57"/>
      <c r="D324" s="57"/>
    </row>
    <row r="325" spans="3:4" s="27" customFormat="1" ht="12.95" customHeight="1" x14ac:dyDescent="0.2">
      <c r="C325" s="57"/>
      <c r="D325" s="57"/>
    </row>
    <row r="326" spans="3:4" s="27" customFormat="1" ht="12.95" customHeight="1" x14ac:dyDescent="0.2">
      <c r="C326" s="57"/>
      <c r="D326" s="57"/>
    </row>
    <row r="327" spans="3:4" s="27" customFormat="1" ht="12.95" customHeight="1" x14ac:dyDescent="0.2">
      <c r="C327" s="57"/>
      <c r="D327" s="57"/>
    </row>
    <row r="328" spans="3:4" s="27" customFormat="1" ht="12.95" customHeight="1" x14ac:dyDescent="0.2">
      <c r="C328" s="57"/>
      <c r="D328" s="57"/>
    </row>
    <row r="329" spans="3:4" s="27" customFormat="1" ht="12.95" customHeight="1" x14ac:dyDescent="0.2">
      <c r="C329" s="57"/>
      <c r="D329" s="57"/>
    </row>
    <row r="330" spans="3:4" s="27" customFormat="1" ht="12.95" customHeight="1" x14ac:dyDescent="0.2">
      <c r="C330" s="57"/>
      <c r="D330" s="57"/>
    </row>
    <row r="331" spans="3:4" s="27" customFormat="1" ht="12.95" customHeight="1" x14ac:dyDescent="0.2">
      <c r="C331" s="57"/>
      <c r="D331" s="57"/>
    </row>
    <row r="332" spans="3:4" s="27" customFormat="1" ht="12.95" customHeight="1" x14ac:dyDescent="0.2">
      <c r="C332" s="57"/>
      <c r="D332" s="57"/>
    </row>
    <row r="333" spans="3:4" s="27" customFormat="1" ht="12.95" customHeight="1" x14ac:dyDescent="0.2">
      <c r="C333" s="57"/>
      <c r="D333" s="57"/>
    </row>
    <row r="334" spans="3:4" s="27" customFormat="1" ht="12.95" customHeight="1" x14ac:dyDescent="0.2">
      <c r="C334" s="57"/>
      <c r="D334" s="57"/>
    </row>
    <row r="335" spans="3:4" s="27" customFormat="1" ht="12.95" customHeight="1" x14ac:dyDescent="0.2">
      <c r="C335" s="57"/>
      <c r="D335" s="57"/>
    </row>
    <row r="336" spans="3:4" s="27" customFormat="1" ht="12.95" customHeight="1" x14ac:dyDescent="0.2">
      <c r="C336" s="57"/>
      <c r="D336" s="57"/>
    </row>
    <row r="337" spans="3:4" s="27" customFormat="1" ht="12.95" customHeight="1" x14ac:dyDescent="0.2">
      <c r="C337" s="57"/>
      <c r="D337" s="57"/>
    </row>
    <row r="338" spans="3:4" s="27" customFormat="1" ht="12.95" customHeight="1" x14ac:dyDescent="0.2">
      <c r="C338" s="57"/>
      <c r="D338" s="57"/>
    </row>
    <row r="339" spans="3:4" s="27" customFormat="1" ht="12.95" customHeight="1" x14ac:dyDescent="0.2">
      <c r="C339" s="57"/>
      <c r="D339" s="57"/>
    </row>
    <row r="340" spans="3:4" s="27" customFormat="1" ht="12.95" customHeight="1" x14ac:dyDescent="0.2">
      <c r="C340" s="57"/>
      <c r="D340" s="57"/>
    </row>
    <row r="341" spans="3:4" s="27" customFormat="1" ht="12.95" customHeight="1" x14ac:dyDescent="0.2">
      <c r="C341" s="57"/>
      <c r="D341" s="57"/>
    </row>
    <row r="342" spans="3:4" s="27" customFormat="1" ht="12.95" customHeight="1" x14ac:dyDescent="0.2">
      <c r="C342" s="57"/>
      <c r="D342" s="57"/>
    </row>
    <row r="343" spans="3:4" s="27" customFormat="1" ht="12.95" customHeight="1" x14ac:dyDescent="0.2">
      <c r="C343" s="57"/>
      <c r="D343" s="57"/>
    </row>
    <row r="344" spans="3:4" s="27" customFormat="1" ht="12.95" customHeight="1" x14ac:dyDescent="0.2">
      <c r="C344" s="57"/>
      <c r="D344" s="57"/>
    </row>
    <row r="345" spans="3:4" s="27" customFormat="1" ht="12.95" customHeight="1" x14ac:dyDescent="0.2">
      <c r="C345" s="57"/>
      <c r="D345" s="57"/>
    </row>
    <row r="346" spans="3:4" s="27" customFormat="1" ht="12.95" customHeight="1" x14ac:dyDescent="0.2">
      <c r="C346" s="57"/>
      <c r="D346" s="57"/>
    </row>
    <row r="347" spans="3:4" s="27" customFormat="1" ht="12.95" customHeight="1" x14ac:dyDescent="0.2">
      <c r="C347" s="57"/>
      <c r="D347" s="57"/>
    </row>
    <row r="348" spans="3:4" s="27" customFormat="1" ht="12.95" customHeight="1" x14ac:dyDescent="0.2">
      <c r="C348" s="57"/>
      <c r="D348" s="57"/>
    </row>
    <row r="349" spans="3:4" s="27" customFormat="1" ht="12.95" customHeight="1" x14ac:dyDescent="0.2">
      <c r="C349" s="57"/>
      <c r="D349" s="57"/>
    </row>
    <row r="350" spans="3:4" s="27" customFormat="1" ht="12.95" customHeight="1" x14ac:dyDescent="0.2">
      <c r="C350" s="57"/>
      <c r="D350" s="57"/>
    </row>
    <row r="351" spans="3:4" s="27" customFormat="1" ht="12.95" customHeight="1" x14ac:dyDescent="0.2">
      <c r="C351" s="57"/>
      <c r="D351" s="57"/>
    </row>
    <row r="352" spans="3:4" s="27" customFormat="1" ht="12.95" customHeight="1" x14ac:dyDescent="0.2">
      <c r="C352" s="57"/>
      <c r="D352" s="57"/>
    </row>
    <row r="353" spans="3:4" s="27" customFormat="1" ht="12.95" customHeight="1" x14ac:dyDescent="0.2">
      <c r="C353" s="57"/>
      <c r="D353" s="57"/>
    </row>
    <row r="354" spans="3:4" s="27" customFormat="1" ht="12.95" customHeight="1" x14ac:dyDescent="0.2">
      <c r="C354" s="57"/>
      <c r="D354" s="57"/>
    </row>
    <row r="355" spans="3:4" s="27" customFormat="1" ht="12.95" customHeight="1" x14ac:dyDescent="0.2">
      <c r="C355" s="57"/>
      <c r="D355" s="57"/>
    </row>
    <row r="356" spans="3:4" s="27" customFormat="1" ht="12.95" customHeight="1" x14ac:dyDescent="0.2">
      <c r="C356" s="57"/>
      <c r="D356" s="57"/>
    </row>
    <row r="357" spans="3:4" s="27" customFormat="1" ht="12.95" customHeight="1" x14ac:dyDescent="0.2">
      <c r="C357" s="57"/>
      <c r="D357" s="57"/>
    </row>
    <row r="358" spans="3:4" s="27" customFormat="1" ht="12.95" customHeight="1" x14ac:dyDescent="0.2">
      <c r="C358" s="57"/>
      <c r="D358" s="57"/>
    </row>
    <row r="359" spans="3:4" s="27" customFormat="1" ht="12.95" customHeight="1" x14ac:dyDescent="0.2">
      <c r="C359" s="57"/>
      <c r="D359" s="57"/>
    </row>
    <row r="360" spans="3:4" s="27" customFormat="1" ht="12.95" customHeight="1" x14ac:dyDescent="0.2">
      <c r="C360" s="57"/>
      <c r="D360" s="57"/>
    </row>
    <row r="361" spans="3:4" s="27" customFormat="1" ht="12.95" customHeight="1" x14ac:dyDescent="0.2">
      <c r="C361" s="57"/>
      <c r="D361" s="57"/>
    </row>
    <row r="362" spans="3:4" s="27" customFormat="1" ht="12.95" customHeight="1" x14ac:dyDescent="0.2">
      <c r="C362" s="57"/>
      <c r="D362" s="57"/>
    </row>
    <row r="363" spans="3:4" s="27" customFormat="1" ht="12.95" customHeight="1" x14ac:dyDescent="0.2">
      <c r="C363" s="57"/>
      <c r="D363" s="57"/>
    </row>
    <row r="364" spans="3:4" s="27" customFormat="1" ht="12.95" customHeight="1" x14ac:dyDescent="0.2">
      <c r="C364" s="57"/>
      <c r="D364" s="57"/>
    </row>
    <row r="365" spans="3:4" s="27" customFormat="1" ht="12.95" customHeight="1" x14ac:dyDescent="0.2">
      <c r="C365" s="57"/>
      <c r="D365" s="57"/>
    </row>
    <row r="366" spans="3:4" s="27" customFormat="1" ht="12.95" customHeight="1" x14ac:dyDescent="0.2">
      <c r="C366" s="57"/>
      <c r="D366" s="57"/>
    </row>
    <row r="367" spans="3:4" s="27" customFormat="1" ht="12.95" customHeight="1" x14ac:dyDescent="0.2">
      <c r="C367" s="57"/>
      <c r="D367" s="57"/>
    </row>
    <row r="368" spans="3:4" s="27" customFormat="1" ht="12.95" customHeight="1" x14ac:dyDescent="0.2">
      <c r="C368" s="57"/>
      <c r="D368" s="57"/>
    </row>
    <row r="369" spans="3:4" s="27" customFormat="1" ht="12.95" customHeight="1" x14ac:dyDescent="0.2">
      <c r="C369" s="57"/>
      <c r="D369" s="57"/>
    </row>
    <row r="370" spans="3:4" s="27" customFormat="1" ht="12.95" customHeight="1" x14ac:dyDescent="0.2">
      <c r="C370" s="57"/>
      <c r="D370" s="57"/>
    </row>
    <row r="371" spans="3:4" s="27" customFormat="1" ht="12.95" customHeight="1" x14ac:dyDescent="0.2">
      <c r="C371" s="57"/>
      <c r="D371" s="57"/>
    </row>
    <row r="372" spans="3:4" s="27" customFormat="1" ht="12.95" customHeight="1" x14ac:dyDescent="0.2">
      <c r="C372" s="57"/>
      <c r="D372" s="57"/>
    </row>
    <row r="373" spans="3:4" s="27" customFormat="1" ht="12.95" customHeight="1" x14ac:dyDescent="0.2">
      <c r="C373" s="57"/>
      <c r="D373" s="57"/>
    </row>
    <row r="374" spans="3:4" s="27" customFormat="1" ht="12.95" customHeight="1" x14ac:dyDescent="0.2">
      <c r="C374" s="57"/>
      <c r="D374" s="57"/>
    </row>
    <row r="375" spans="3:4" s="27" customFormat="1" ht="12.95" customHeight="1" x14ac:dyDescent="0.2">
      <c r="C375" s="57"/>
      <c r="D375" s="57"/>
    </row>
    <row r="376" spans="3:4" s="27" customFormat="1" ht="12.95" customHeight="1" x14ac:dyDescent="0.2">
      <c r="C376" s="57"/>
      <c r="D376" s="57"/>
    </row>
    <row r="377" spans="3:4" s="27" customFormat="1" ht="12.95" customHeight="1" x14ac:dyDescent="0.2">
      <c r="C377" s="57"/>
      <c r="D377" s="57"/>
    </row>
    <row r="378" spans="3:4" s="27" customFormat="1" ht="12.95" customHeight="1" x14ac:dyDescent="0.2">
      <c r="C378" s="57"/>
      <c r="D378" s="57"/>
    </row>
    <row r="379" spans="3:4" s="27" customFormat="1" ht="12.95" customHeight="1" x14ac:dyDescent="0.2">
      <c r="C379" s="57"/>
      <c r="D379" s="57"/>
    </row>
    <row r="380" spans="3:4" s="27" customFormat="1" ht="12.95" customHeight="1" x14ac:dyDescent="0.2">
      <c r="C380" s="57"/>
      <c r="D380" s="57"/>
    </row>
    <row r="381" spans="3:4" s="27" customFormat="1" ht="12.95" customHeight="1" x14ac:dyDescent="0.2">
      <c r="C381" s="57"/>
      <c r="D381" s="57"/>
    </row>
    <row r="382" spans="3:4" s="27" customFormat="1" ht="12.95" customHeight="1" x14ac:dyDescent="0.2">
      <c r="C382" s="57"/>
      <c r="D382" s="57"/>
    </row>
    <row r="383" spans="3:4" s="27" customFormat="1" ht="12.95" customHeight="1" x14ac:dyDescent="0.2">
      <c r="C383" s="57"/>
      <c r="D383" s="57"/>
    </row>
    <row r="384" spans="3:4" s="27" customFormat="1" ht="12.95" customHeight="1" x14ac:dyDescent="0.2">
      <c r="C384" s="57"/>
      <c r="D384" s="57"/>
    </row>
    <row r="385" spans="3:4" s="27" customFormat="1" ht="12.95" customHeight="1" x14ac:dyDescent="0.2">
      <c r="C385" s="57"/>
      <c r="D385" s="57"/>
    </row>
    <row r="386" spans="3:4" s="27" customFormat="1" ht="12.95" customHeight="1" x14ac:dyDescent="0.2">
      <c r="C386" s="57"/>
      <c r="D386" s="57"/>
    </row>
    <row r="387" spans="3:4" s="27" customFormat="1" ht="12.95" customHeight="1" x14ac:dyDescent="0.2">
      <c r="C387" s="57"/>
      <c r="D387" s="57"/>
    </row>
    <row r="388" spans="3:4" s="27" customFormat="1" ht="12.95" customHeight="1" x14ac:dyDescent="0.2">
      <c r="C388" s="57"/>
      <c r="D388" s="57"/>
    </row>
    <row r="389" spans="3:4" s="27" customFormat="1" ht="12.95" customHeight="1" x14ac:dyDescent="0.2">
      <c r="C389" s="57"/>
      <c r="D389" s="57"/>
    </row>
    <row r="390" spans="3:4" s="27" customFormat="1" ht="12.95" customHeight="1" x14ac:dyDescent="0.2">
      <c r="C390" s="57"/>
      <c r="D390" s="57"/>
    </row>
    <row r="391" spans="3:4" s="27" customFormat="1" ht="12.95" customHeight="1" x14ac:dyDescent="0.2">
      <c r="C391" s="57"/>
      <c r="D391" s="57"/>
    </row>
    <row r="392" spans="3:4" s="27" customFormat="1" ht="12.95" customHeight="1" x14ac:dyDescent="0.2">
      <c r="C392" s="57"/>
      <c r="D392" s="57"/>
    </row>
    <row r="393" spans="3:4" s="27" customFormat="1" ht="12.95" customHeight="1" x14ac:dyDescent="0.2">
      <c r="C393" s="57"/>
      <c r="D393" s="57"/>
    </row>
    <row r="394" spans="3:4" s="27" customFormat="1" ht="12.95" customHeight="1" x14ac:dyDescent="0.2">
      <c r="C394" s="57"/>
      <c r="D394" s="57"/>
    </row>
    <row r="395" spans="3:4" s="27" customFormat="1" ht="12.95" customHeight="1" x14ac:dyDescent="0.2">
      <c r="C395" s="57"/>
      <c r="D395" s="57"/>
    </row>
    <row r="396" spans="3:4" s="27" customFormat="1" ht="12.95" customHeight="1" x14ac:dyDescent="0.2">
      <c r="C396" s="57"/>
      <c r="D396" s="57"/>
    </row>
    <row r="397" spans="3:4" s="27" customFormat="1" ht="12.95" customHeight="1" x14ac:dyDescent="0.2">
      <c r="C397" s="57"/>
      <c r="D397" s="57"/>
    </row>
    <row r="398" spans="3:4" s="27" customFormat="1" ht="12.95" customHeight="1" x14ac:dyDescent="0.2">
      <c r="C398" s="57"/>
      <c r="D398" s="57"/>
    </row>
    <row r="399" spans="3:4" s="27" customFormat="1" ht="12.95" customHeight="1" x14ac:dyDescent="0.2">
      <c r="C399" s="57"/>
      <c r="D399" s="57"/>
    </row>
    <row r="400" spans="3:4" s="27" customFormat="1" ht="12.95" customHeight="1" x14ac:dyDescent="0.2">
      <c r="C400" s="57"/>
      <c r="D400" s="57"/>
    </row>
    <row r="401" spans="3:4" s="27" customFormat="1" ht="12.95" customHeight="1" x14ac:dyDescent="0.2">
      <c r="C401" s="57"/>
      <c r="D401" s="57"/>
    </row>
    <row r="402" spans="3:4" s="27" customFormat="1" ht="12.95" customHeight="1" x14ac:dyDescent="0.2">
      <c r="C402" s="57"/>
      <c r="D402" s="57"/>
    </row>
    <row r="403" spans="3:4" s="27" customFormat="1" ht="12.95" customHeight="1" x14ac:dyDescent="0.2">
      <c r="C403" s="57"/>
      <c r="D403" s="57"/>
    </row>
    <row r="404" spans="3:4" s="27" customFormat="1" ht="12.95" customHeight="1" x14ac:dyDescent="0.2">
      <c r="C404" s="57"/>
      <c r="D404" s="57"/>
    </row>
    <row r="405" spans="3:4" s="27" customFormat="1" ht="12.95" customHeight="1" x14ac:dyDescent="0.2">
      <c r="C405" s="57"/>
      <c r="D405" s="57"/>
    </row>
    <row r="406" spans="3:4" s="27" customFormat="1" ht="12.95" customHeight="1" x14ac:dyDescent="0.2">
      <c r="C406" s="57"/>
      <c r="D406" s="57"/>
    </row>
    <row r="407" spans="3:4" s="27" customFormat="1" ht="12.95" customHeight="1" x14ac:dyDescent="0.2">
      <c r="C407" s="57"/>
      <c r="D407" s="57"/>
    </row>
    <row r="408" spans="3:4" s="27" customFormat="1" ht="12.95" customHeight="1" x14ac:dyDescent="0.2">
      <c r="C408" s="57"/>
      <c r="D408" s="57"/>
    </row>
    <row r="409" spans="3:4" s="27" customFormat="1" ht="12.95" customHeight="1" x14ac:dyDescent="0.2">
      <c r="C409" s="57"/>
      <c r="D409" s="57"/>
    </row>
    <row r="410" spans="3:4" s="27" customFormat="1" ht="12.95" customHeight="1" x14ac:dyDescent="0.2">
      <c r="C410" s="57"/>
      <c r="D410" s="57"/>
    </row>
    <row r="411" spans="3:4" s="27" customFormat="1" ht="12.95" customHeight="1" x14ac:dyDescent="0.2">
      <c r="C411" s="57"/>
      <c r="D411" s="57"/>
    </row>
    <row r="412" spans="3:4" s="27" customFormat="1" ht="12.95" customHeight="1" x14ac:dyDescent="0.2">
      <c r="C412" s="57"/>
      <c r="D412" s="57"/>
    </row>
    <row r="413" spans="3:4" s="27" customFormat="1" ht="12.95" customHeight="1" x14ac:dyDescent="0.2">
      <c r="C413" s="57"/>
      <c r="D413" s="57"/>
    </row>
    <row r="414" spans="3:4" s="27" customFormat="1" ht="12.95" customHeight="1" x14ac:dyDescent="0.2">
      <c r="C414" s="57"/>
      <c r="D414" s="57"/>
    </row>
    <row r="415" spans="3:4" s="27" customFormat="1" ht="12.95" customHeight="1" x14ac:dyDescent="0.2">
      <c r="C415" s="57"/>
      <c r="D415" s="57"/>
    </row>
    <row r="416" spans="3:4" s="27" customFormat="1" ht="12.95" customHeight="1" x14ac:dyDescent="0.2">
      <c r="C416" s="57"/>
      <c r="D416" s="57"/>
    </row>
    <row r="417" spans="3:4" s="27" customFormat="1" ht="12.95" customHeight="1" x14ac:dyDescent="0.2">
      <c r="C417" s="57"/>
      <c r="D417" s="57"/>
    </row>
    <row r="418" spans="3:4" s="27" customFormat="1" ht="12.95" customHeight="1" x14ac:dyDescent="0.2">
      <c r="C418" s="57"/>
      <c r="D418" s="57"/>
    </row>
    <row r="419" spans="3:4" s="27" customFormat="1" ht="12.95" customHeight="1" x14ac:dyDescent="0.2">
      <c r="C419" s="57"/>
      <c r="D419" s="57"/>
    </row>
    <row r="420" spans="3:4" s="27" customFormat="1" ht="12.95" customHeight="1" x14ac:dyDescent="0.2">
      <c r="C420" s="57"/>
      <c r="D420" s="57"/>
    </row>
    <row r="421" spans="3:4" s="27" customFormat="1" ht="12.95" customHeight="1" x14ac:dyDescent="0.2">
      <c r="C421" s="57"/>
      <c r="D421" s="57"/>
    </row>
    <row r="422" spans="3:4" s="27" customFormat="1" ht="12.95" customHeight="1" x14ac:dyDescent="0.2">
      <c r="C422" s="57"/>
      <c r="D422" s="57"/>
    </row>
    <row r="423" spans="3:4" s="27" customFormat="1" ht="12.95" customHeight="1" x14ac:dyDescent="0.2">
      <c r="C423" s="57"/>
      <c r="D423" s="57"/>
    </row>
    <row r="424" spans="3:4" s="27" customFormat="1" ht="12.95" customHeight="1" x14ac:dyDescent="0.2">
      <c r="C424" s="57"/>
      <c r="D424" s="57"/>
    </row>
    <row r="425" spans="3:4" s="27" customFormat="1" ht="12.95" customHeight="1" x14ac:dyDescent="0.2">
      <c r="C425" s="57"/>
      <c r="D425" s="57"/>
    </row>
    <row r="426" spans="3:4" s="27" customFormat="1" ht="12.95" customHeight="1" x14ac:dyDescent="0.2">
      <c r="C426" s="57"/>
      <c r="D426" s="57"/>
    </row>
    <row r="427" spans="3:4" s="27" customFormat="1" ht="12.95" customHeight="1" x14ac:dyDescent="0.2">
      <c r="C427" s="57"/>
      <c r="D427" s="57"/>
    </row>
    <row r="428" spans="3:4" s="27" customFormat="1" ht="12.95" customHeight="1" x14ac:dyDescent="0.2">
      <c r="C428" s="57"/>
      <c r="D428" s="57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</sheetData>
  <protectedRanges>
    <protectedRange sqref="A56:D56" name="Range1"/>
  </protectedRanges>
  <sortState xmlns:xlrd2="http://schemas.microsoft.com/office/spreadsheetml/2017/richdata2" ref="A21:U66">
    <sortCondition ref="C21:C66"/>
  </sortState>
  <phoneticPr fontId="8" type="noConversion"/>
  <hyperlinks>
    <hyperlink ref="H1378" r:id="rId1" display="http://vsolj.cetus-net.org/bulletin.html" xr:uid="{00000000-0004-0000-0000-000000000000}"/>
    <hyperlink ref="H64837" r:id="rId2" display="http://vsolj.cetus-net.org/bulletin.html" xr:uid="{00000000-0004-0000-0000-000001000000}"/>
    <hyperlink ref="H64830" r:id="rId3" display="https://www.aavso.org/ejaavso" xr:uid="{00000000-0004-0000-0000-000002000000}"/>
    <hyperlink ref="AP981" r:id="rId4" display="http://cdsbib.u-strasbg.fr/cgi-bin/cdsbib?1990RMxAA..21..381G" xr:uid="{00000000-0004-0000-0000-000003000000}"/>
    <hyperlink ref="AP985" r:id="rId5" display="http://cdsbib.u-strasbg.fr/cgi-bin/cdsbib?1990RMxAA..21..381G" xr:uid="{00000000-0004-0000-0000-000004000000}"/>
    <hyperlink ref="AP984" r:id="rId6" display="http://cdsbib.u-strasbg.fr/cgi-bin/cdsbib?1990RMxAA..21..381G" xr:uid="{00000000-0004-0000-0000-000005000000}"/>
    <hyperlink ref="AP965" r:id="rId7" display="http://cdsbib.u-strasbg.fr/cgi-bin/cdsbib?1990RMxAA..21..381G" xr:uid="{00000000-0004-0000-0000-000006000000}"/>
    <hyperlink ref="I64837" r:id="rId8" display="http://vsolj.cetus-net.org/bulletin.html" xr:uid="{00000000-0004-0000-0000-000007000000}"/>
    <hyperlink ref="AQ1121" r:id="rId9" display="http://cdsbib.u-strasbg.fr/cgi-bin/cdsbib?1990RMxAA..21..381G" xr:uid="{00000000-0004-0000-0000-000008000000}"/>
    <hyperlink ref="AQ55887" r:id="rId10" display="http://cdsbib.u-strasbg.fr/cgi-bin/cdsbib?1990RMxAA..21..381G" xr:uid="{00000000-0004-0000-0000-000009000000}"/>
    <hyperlink ref="AQ1122" r:id="rId11" display="http://cdsbib.u-strasbg.fr/cgi-bin/cdsbib?1990RMxAA..21..381G" xr:uid="{00000000-0004-0000-0000-00000A000000}"/>
    <hyperlink ref="H64834" r:id="rId12" display="https://www.aavso.org/ejaavso" xr:uid="{00000000-0004-0000-0000-00000B000000}"/>
    <hyperlink ref="H2007" r:id="rId13" display="http://vsolj.cetus-net.org/bulletin.html" xr:uid="{00000000-0004-0000-0000-00000C000000}"/>
    <hyperlink ref="AP3251" r:id="rId14" display="http://cdsbib.u-strasbg.fr/cgi-bin/cdsbib?1990RMxAA..21..381G" xr:uid="{00000000-0004-0000-0000-00000D000000}"/>
    <hyperlink ref="AP3254" r:id="rId15" display="http://cdsbib.u-strasbg.fr/cgi-bin/cdsbib?1990RMxAA..21..381G" xr:uid="{00000000-0004-0000-0000-00000E000000}"/>
    <hyperlink ref="AP3252" r:id="rId16" display="http://cdsbib.u-strasbg.fr/cgi-bin/cdsbib?1990RMxAA..21..381G" xr:uid="{00000000-0004-0000-0000-00000F000000}"/>
    <hyperlink ref="AP3236" r:id="rId17" display="http://cdsbib.u-strasbg.fr/cgi-bin/cdsbib?1990RMxAA..21..381G" xr:uid="{00000000-0004-0000-0000-000010000000}"/>
    <hyperlink ref="I2007" r:id="rId18" display="http://vsolj.cetus-net.org/bulletin.html" xr:uid="{00000000-0004-0000-0000-000011000000}"/>
    <hyperlink ref="AQ3465" r:id="rId19" display="http://cdsbib.u-strasbg.fr/cgi-bin/cdsbib?1990RMxAA..21..381G" xr:uid="{00000000-0004-0000-0000-000012000000}"/>
    <hyperlink ref="AQ166" r:id="rId20" display="http://cdsbib.u-strasbg.fr/cgi-bin/cdsbib?1990RMxAA..21..381G" xr:uid="{00000000-0004-0000-0000-000013000000}"/>
    <hyperlink ref="AQ3469" r:id="rId21" display="http://cdsbib.u-strasbg.fr/cgi-bin/cdsbib?1990RMxAA..21..381G" xr:uid="{00000000-0004-0000-0000-000014000000}"/>
    <hyperlink ref="H64513" r:id="rId22" display="http://vsolj.cetus-net.org/bulletin.html" xr:uid="{00000000-0004-0000-0000-000015000000}"/>
    <hyperlink ref="H64506" r:id="rId23" display="https://www.aavso.org/ejaavso" xr:uid="{00000000-0004-0000-0000-000016000000}"/>
    <hyperlink ref="I64513" r:id="rId24" display="http://vsolj.cetus-net.org/bulletin.html" xr:uid="{00000000-0004-0000-0000-000017000000}"/>
    <hyperlink ref="AQ58164" r:id="rId25" display="http://cdsbib.u-strasbg.fr/cgi-bin/cdsbib?1990RMxAA..21..381G" xr:uid="{00000000-0004-0000-0000-000018000000}"/>
    <hyperlink ref="H64510" r:id="rId26" display="https://www.aavso.org/ejaavso" xr:uid="{00000000-0004-0000-0000-000019000000}"/>
    <hyperlink ref="AP5528" r:id="rId27" display="http://cdsbib.u-strasbg.fr/cgi-bin/cdsbib?1990RMxAA..21..381G" xr:uid="{00000000-0004-0000-0000-00001A000000}"/>
    <hyperlink ref="AP5531" r:id="rId28" display="http://cdsbib.u-strasbg.fr/cgi-bin/cdsbib?1990RMxAA..21..381G" xr:uid="{00000000-0004-0000-0000-00001B000000}"/>
    <hyperlink ref="AP5529" r:id="rId29" display="http://cdsbib.u-strasbg.fr/cgi-bin/cdsbib?1990RMxAA..21..381G" xr:uid="{00000000-0004-0000-0000-00001C000000}"/>
    <hyperlink ref="AP5513" r:id="rId30" display="http://cdsbib.u-strasbg.fr/cgi-bin/cdsbib?1990RMxAA..21..381G" xr:uid="{00000000-0004-0000-0000-00001D000000}"/>
    <hyperlink ref="AQ5742" r:id="rId31" display="http://cdsbib.u-strasbg.fr/cgi-bin/cdsbib?1990RMxAA..21..381G" xr:uid="{00000000-0004-0000-0000-00001E000000}"/>
    <hyperlink ref="AQ5746" r:id="rId32" display="http://cdsbib.u-strasbg.fr/cgi-bin/cdsbib?1990RMxAA..21..381G" xr:uid="{00000000-0004-0000-0000-00001F000000}"/>
    <hyperlink ref="AQ65426" r:id="rId33" display="http://cdsbib.u-strasbg.fr/cgi-bin/cdsbib?1990RMxAA..21..381G" xr:uid="{00000000-0004-0000-0000-000020000000}"/>
    <hyperlink ref="I2634" r:id="rId34" display="http://vsolj.cetus-net.org/bulletin.html" xr:uid="{00000000-0004-0000-0000-000021000000}"/>
    <hyperlink ref="H2634" r:id="rId35" display="http://vsolj.cetus-net.org/bulletin.html" xr:uid="{00000000-0004-0000-0000-000022000000}"/>
    <hyperlink ref="AQ551" r:id="rId36" display="http://cdsbib.u-strasbg.fr/cgi-bin/cdsbib?1990RMxAA..21..381G" xr:uid="{00000000-0004-0000-0000-000023000000}"/>
    <hyperlink ref="AQ550" r:id="rId37" display="http://cdsbib.u-strasbg.fr/cgi-bin/cdsbib?1990RMxAA..21..381G" xr:uid="{00000000-0004-0000-0000-000024000000}"/>
    <hyperlink ref="AP3804" r:id="rId38" display="http://cdsbib.u-strasbg.fr/cgi-bin/cdsbib?1990RMxAA..21..381G" xr:uid="{00000000-0004-0000-0000-000025000000}"/>
    <hyperlink ref="AP3822" r:id="rId39" display="http://cdsbib.u-strasbg.fr/cgi-bin/cdsbib?1990RMxAA..21..381G" xr:uid="{00000000-0004-0000-0000-000026000000}"/>
    <hyperlink ref="AP3823" r:id="rId40" display="http://cdsbib.u-strasbg.fr/cgi-bin/cdsbib?1990RMxAA..21..381G" xr:uid="{00000000-0004-0000-0000-000027000000}"/>
    <hyperlink ref="AP3819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DB72-F1CF-481F-B89E-C49EA1A2DA6C}">
  <dimension ref="A1:AB242"/>
  <sheetViews>
    <sheetView workbookViewId="0">
      <pane xSplit="12" ySplit="22" topLeftCell="M41" activePane="bottomRight" state="frozen"/>
      <selection pane="topRight" activeCell="M1" sqref="M1"/>
      <selection pane="bottomLeft" activeCell="A23" sqref="A23"/>
      <selection pane="bottomRight" activeCell="E15" sqref="E15:F19"/>
    </sheetView>
  </sheetViews>
  <sheetFormatPr defaultRowHeight="12.75" x14ac:dyDescent="0.2"/>
  <cols>
    <col min="1" max="1" width="18.28515625" customWidth="1"/>
    <col min="2" max="2" width="6.7109375" customWidth="1"/>
    <col min="3" max="3" width="13.42578125" customWidth="1"/>
    <col min="4" max="4" width="10.7109375" customWidth="1"/>
    <col min="5" max="5" width="13.42578125" customWidth="1"/>
    <col min="6" max="6" width="16.5703125" customWidth="1"/>
    <col min="17" max="17" width="12.140625" customWidth="1"/>
  </cols>
  <sheetData>
    <row r="1" spans="1:28" ht="21" thickBot="1" x14ac:dyDescent="0.35">
      <c r="A1" s="1" t="s">
        <v>35</v>
      </c>
      <c r="V1" s="3" t="s">
        <v>11</v>
      </c>
      <c r="W1" s="4" t="s">
        <v>22</v>
      </c>
    </row>
    <row r="2" spans="1:28" ht="12.95" customHeight="1" x14ac:dyDescent="0.2">
      <c r="A2" s="27" t="s">
        <v>24</v>
      </c>
      <c r="B2" s="27" t="s">
        <v>36</v>
      </c>
      <c r="C2" s="28"/>
      <c r="D2" s="88"/>
      <c r="E2" s="92" t="s">
        <v>182</v>
      </c>
      <c r="F2" s="93" t="s">
        <v>180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9">
        <v>-500</v>
      </c>
      <c r="W2" s="29">
        <f t="shared" ref="W2:W20" si="0">+D$11+D$12*V2+D$13*V2^2</f>
        <v>2.8893851351291188E-3</v>
      </c>
      <c r="X2" s="27"/>
      <c r="Y2" s="27"/>
      <c r="Z2" s="27"/>
      <c r="AA2" s="27"/>
      <c r="AB2" s="27"/>
    </row>
    <row r="3" spans="1:28" ht="12.95" customHeight="1" thickBot="1" x14ac:dyDescent="0.25">
      <c r="A3" s="27"/>
      <c r="B3" s="27"/>
      <c r="C3" s="27"/>
      <c r="D3" s="27"/>
      <c r="E3" s="100" t="s">
        <v>47</v>
      </c>
      <c r="F3" s="95">
        <v>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9">
        <v>0</v>
      </c>
      <c r="W3" s="29">
        <f t="shared" si="0"/>
        <v>1.5662974393329033E-3</v>
      </c>
      <c r="X3" s="27"/>
      <c r="Y3" s="27"/>
      <c r="Z3" s="27"/>
      <c r="AA3" s="27"/>
      <c r="AB3" s="27"/>
    </row>
    <row r="4" spans="1:28" ht="12.95" customHeight="1" thickTop="1" thickBot="1" x14ac:dyDescent="0.25">
      <c r="A4" s="30" t="s">
        <v>34</v>
      </c>
      <c r="B4" s="27"/>
      <c r="C4" s="31">
        <v>52500.767800000001</v>
      </c>
      <c r="D4" s="32">
        <v>0.89629650000000005</v>
      </c>
      <c r="E4" s="102" t="s">
        <v>31</v>
      </c>
      <c r="F4" s="96">
        <f ca="1">NOW()+15018.5+$C$5/24</f>
        <v>60518.739535300927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9">
        <v>500</v>
      </c>
      <c r="W4" s="29">
        <f t="shared" si="0"/>
        <v>5.3268974103303597E-4</v>
      </c>
      <c r="X4" s="27"/>
      <c r="Y4" s="27"/>
      <c r="Z4" s="27"/>
      <c r="AA4" s="27"/>
      <c r="AB4" s="27"/>
    </row>
    <row r="5" spans="1:28" ht="12.95" customHeight="1" thickTop="1" x14ac:dyDescent="0.2">
      <c r="A5" s="33" t="s">
        <v>29</v>
      </c>
      <c r="B5" s="27"/>
      <c r="C5" s="34">
        <v>-9.5</v>
      </c>
      <c r="D5" s="27" t="s">
        <v>30</v>
      </c>
      <c r="E5" s="100" t="s">
        <v>48</v>
      </c>
      <c r="F5" s="96">
        <f ca="1">ROUND(2*($F$4-$C$7)/$C$8,0)/2+$F$3</f>
        <v>12085.5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9">
        <v>1000</v>
      </c>
      <c r="W5" s="29">
        <f t="shared" si="0"/>
        <v>-2.1143795977048333E-4</v>
      </c>
      <c r="X5" s="27"/>
      <c r="Y5" s="27"/>
      <c r="Z5" s="27"/>
      <c r="AA5" s="27"/>
      <c r="AB5" s="27"/>
    </row>
    <row r="6" spans="1:28" ht="12.95" customHeight="1" x14ac:dyDescent="0.2">
      <c r="A6" s="30" t="s">
        <v>3</v>
      </c>
      <c r="B6" s="27"/>
      <c r="C6" s="27"/>
      <c r="D6" s="27"/>
      <c r="E6" s="100" t="s">
        <v>32</v>
      </c>
      <c r="F6" s="96">
        <f ca="1">ROUND(2*($F$4-$C$15)/$C$16,0)/2+$F$3</f>
        <v>576.5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9">
        <v>1500</v>
      </c>
      <c r="W6" s="29">
        <f t="shared" si="0"/>
        <v>-6.6608566307765492E-4</v>
      </c>
      <c r="X6" s="27"/>
      <c r="Y6" s="27"/>
      <c r="Z6" s="27"/>
      <c r="AA6" s="27"/>
      <c r="AB6" s="27"/>
    </row>
    <row r="7" spans="1:28" ht="12.95" customHeight="1" x14ac:dyDescent="0.2">
      <c r="A7" s="27" t="s">
        <v>4</v>
      </c>
      <c r="B7" s="27"/>
      <c r="C7" s="27">
        <v>49687.296000000002</v>
      </c>
      <c r="D7" s="48" t="s">
        <v>181</v>
      </c>
      <c r="E7" s="100" t="s">
        <v>183</v>
      </c>
      <c r="F7" s="97">
        <f ca="1">+$C$15+$C$16*$F$6-15018.5-$C$5/24</f>
        <v>45501.399922457094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9">
        <v>2000</v>
      </c>
      <c r="W7" s="29">
        <f t="shared" si="0"/>
        <v>-8.312533688884776E-4</v>
      </c>
      <c r="X7" s="27"/>
      <c r="Y7" s="27"/>
      <c r="Z7" s="27"/>
      <c r="AA7" s="27"/>
      <c r="AB7" s="27"/>
    </row>
    <row r="8" spans="1:28" ht="12.95" customHeight="1" x14ac:dyDescent="0.2">
      <c r="A8" s="27" t="s">
        <v>5</v>
      </c>
      <c r="B8" s="27"/>
      <c r="C8" s="27">
        <v>0.89629899999999996</v>
      </c>
      <c r="D8" s="48" t="s">
        <v>181</v>
      </c>
      <c r="E8" s="101" t="s">
        <v>184</v>
      </c>
      <c r="F8" s="99">
        <f ca="1">+($C$15+$C$16*$F$6)-($C$16/2)-15018.5-$C$5/24</f>
        <v>45500.951772334076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9">
        <v>2500</v>
      </c>
      <c r="W8" s="29">
        <f t="shared" si="0"/>
        <v>-7.0694107720295366E-4</v>
      </c>
      <c r="X8" s="27"/>
      <c r="Y8" s="27"/>
      <c r="Z8" s="27"/>
      <c r="AA8" s="27"/>
      <c r="AB8" s="27"/>
    </row>
    <row r="9" spans="1:28" ht="12.95" customHeight="1" x14ac:dyDescent="0.2">
      <c r="A9" s="35" t="s">
        <v>33</v>
      </c>
      <c r="B9" s="27"/>
      <c r="C9" s="87">
        <v>46</v>
      </c>
      <c r="D9" s="36" t="str">
        <f>"F"&amp;C9</f>
        <v>F46</v>
      </c>
      <c r="E9" s="37" t="str">
        <f>"G"&amp;C9</f>
        <v>G46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9">
        <v>3000</v>
      </c>
      <c r="W9" s="29">
        <f t="shared" si="0"/>
        <v>-2.9314878802107983E-4</v>
      </c>
      <c r="X9" s="27"/>
      <c r="Y9" s="27"/>
      <c r="Z9" s="27"/>
      <c r="AA9" s="27"/>
      <c r="AB9" s="27"/>
    </row>
    <row r="10" spans="1:28" ht="12.95" customHeight="1" thickBot="1" x14ac:dyDescent="0.25">
      <c r="A10" s="27"/>
      <c r="B10" s="27"/>
      <c r="C10" s="38" t="s">
        <v>20</v>
      </c>
      <c r="D10" s="38" t="s">
        <v>21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9">
        <v>3500</v>
      </c>
      <c r="W10" s="29">
        <f t="shared" si="0"/>
        <v>4.1012349865714084E-4</v>
      </c>
      <c r="X10" s="27"/>
      <c r="Y10" s="27"/>
      <c r="Z10" s="27"/>
      <c r="AA10" s="27"/>
      <c r="AB10" s="27"/>
    </row>
    <row r="11" spans="1:28" ht="12.95" customHeight="1" x14ac:dyDescent="0.2">
      <c r="A11" s="27" t="s">
        <v>16</v>
      </c>
      <c r="B11" s="27"/>
      <c r="C11" s="37">
        <f ca="1">INTERCEPT(INDIRECT($E$9):G974,INDIRECT($D$9):F974)</f>
        <v>-2.8534276573782293E-2</v>
      </c>
      <c r="D11" s="28">
        <f>+E11*F11</f>
        <v>1.5662974393329033E-3</v>
      </c>
      <c r="E11" s="39">
        <v>1.5662974393329033E-3</v>
      </c>
      <c r="F11" s="27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9">
        <v>4000</v>
      </c>
      <c r="W11" s="29">
        <f t="shared" si="0"/>
        <v>1.4028757828317105E-3</v>
      </c>
      <c r="X11" s="27"/>
      <c r="Y11" s="27"/>
      <c r="Z11" s="27"/>
      <c r="AA11" s="27"/>
      <c r="AB11" s="27"/>
    </row>
    <row r="12" spans="1:28" ht="12.95" customHeight="1" x14ac:dyDescent="0.2">
      <c r="A12" s="27" t="s">
        <v>17</v>
      </c>
      <c r="B12" s="27"/>
      <c r="C12" s="37">
        <f ca="1">SLOPE(INDIRECT($E$9):G974,INDIRECT($D$9):F974)</f>
        <v>1.2460303938506092E-6</v>
      </c>
      <c r="D12" s="28">
        <f>+E12*F12</f>
        <v>-2.356695394096083E-6</v>
      </c>
      <c r="E12" s="40">
        <v>-2.3566953940960828E-2</v>
      </c>
      <c r="F12" s="41">
        <v>1E-4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9">
        <v>4500</v>
      </c>
      <c r="W12" s="29">
        <f t="shared" si="0"/>
        <v>2.6851080645026275E-3</v>
      </c>
      <c r="X12" s="27"/>
      <c r="Y12" s="27"/>
      <c r="Z12" s="27"/>
      <c r="AA12" s="27"/>
      <c r="AB12" s="27"/>
    </row>
    <row r="13" spans="1:28" ht="12.95" customHeight="1" thickBot="1" x14ac:dyDescent="0.25">
      <c r="A13" s="27" t="s">
        <v>19</v>
      </c>
      <c r="B13" s="27"/>
      <c r="C13" s="28" t="s">
        <v>14</v>
      </c>
      <c r="D13" s="28">
        <f>+E13*F13</f>
        <v>5.7895999499269622E-10</v>
      </c>
      <c r="E13" s="42">
        <v>5.7895999499269615E-2</v>
      </c>
      <c r="F13" s="41">
        <v>1E-8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9">
        <v>5000</v>
      </c>
      <c r="W13" s="29">
        <f t="shared" si="0"/>
        <v>4.2568203436698926E-3</v>
      </c>
      <c r="X13" s="27"/>
      <c r="Y13" s="27"/>
      <c r="Z13" s="27"/>
      <c r="AA13" s="27"/>
      <c r="AB13" s="27"/>
    </row>
    <row r="14" spans="1:28" ht="12.95" customHeight="1" x14ac:dyDescent="0.2">
      <c r="A14" s="27"/>
      <c r="B14" s="27"/>
      <c r="C14" s="27"/>
      <c r="D14" s="27"/>
      <c r="E14" s="27">
        <f>SUM(T21:T933)</f>
        <v>4.4190789415121501E-2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9">
        <v>5500</v>
      </c>
      <c r="W14" s="29">
        <f t="shared" si="0"/>
        <v>6.1180126203335076E-3</v>
      </c>
      <c r="X14" s="27"/>
      <c r="Y14" s="27"/>
      <c r="Z14" s="27"/>
      <c r="AA14" s="27"/>
      <c r="AB14" s="27"/>
    </row>
    <row r="15" spans="1:28" ht="12.95" customHeight="1" x14ac:dyDescent="0.2">
      <c r="A15" s="43" t="s">
        <v>18</v>
      </c>
      <c r="B15" s="27"/>
      <c r="C15" s="44">
        <f ca="1">(C7+C11)+(C8+C12)*INT(MAX(F21:F3515))</f>
        <v>60002.786997287236</v>
      </c>
      <c r="D15" s="37">
        <f>+C7+INT(MAX(F21:F1571))*C8+D11+D12*INT(MAX(F21:F4006))+D13*INT(MAX(F21:F4033)^2)</f>
        <v>60002.852321441103</v>
      </c>
      <c r="E15" s="45"/>
      <c r="F15" s="3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9">
        <v>6000</v>
      </c>
      <c r="W15" s="29">
        <f t="shared" si="0"/>
        <v>8.2686848944934672E-3</v>
      </c>
      <c r="X15" s="27"/>
      <c r="Y15" s="27"/>
      <c r="Z15" s="27"/>
      <c r="AA15" s="27"/>
      <c r="AB15" s="27"/>
    </row>
    <row r="16" spans="1:28" ht="12.95" customHeight="1" x14ac:dyDescent="0.2">
      <c r="A16" s="30" t="s">
        <v>6</v>
      </c>
      <c r="B16" s="27"/>
      <c r="C16" s="46">
        <f ca="1">+C8+C12</f>
        <v>0.89630024603039382</v>
      </c>
      <c r="D16" s="37">
        <f>+C8+D12+2*D13*MAX(F21:F879)</f>
        <v>0.8963099698057706</v>
      </c>
      <c r="E16" s="45"/>
      <c r="F16" s="4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48">
        <v>6500</v>
      </c>
      <c r="W16" s="48">
        <f t="shared" si="0"/>
        <v>1.070883716614978E-2</v>
      </c>
      <c r="X16" s="27"/>
      <c r="Y16" s="27"/>
      <c r="Z16" s="27"/>
      <c r="AA16" s="27"/>
      <c r="AB16" s="27"/>
    </row>
    <row r="17" spans="1:28" ht="12.95" customHeight="1" thickBot="1" x14ac:dyDescent="0.25">
      <c r="A17" s="45" t="s">
        <v>28</v>
      </c>
      <c r="B17" s="27"/>
      <c r="C17" s="27">
        <f>COUNT(C21:C2173)</f>
        <v>42</v>
      </c>
      <c r="D17" s="27"/>
      <c r="E17" s="45"/>
      <c r="F17" s="4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48">
        <v>7000</v>
      </c>
      <c r="W17" s="48">
        <f t="shared" si="0"/>
        <v>1.3438469435302436E-2</v>
      </c>
      <c r="X17" s="27"/>
      <c r="Y17" s="27"/>
      <c r="Z17" s="27"/>
      <c r="AA17" s="27"/>
      <c r="AB17" s="27"/>
    </row>
    <row r="18" spans="1:28" ht="12.95" customHeight="1" thickTop="1" thickBot="1" x14ac:dyDescent="0.25">
      <c r="A18" s="30" t="s">
        <v>53</v>
      </c>
      <c r="B18" s="27"/>
      <c r="C18" s="49">
        <f ca="1">+C15</f>
        <v>60002.786997287236</v>
      </c>
      <c r="D18" s="50">
        <f ca="1">C16</f>
        <v>0.89630024603039382</v>
      </c>
      <c r="E18" s="45"/>
      <c r="F18" s="3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8">
        <v>7500</v>
      </c>
      <c r="W18" s="48">
        <f t="shared" si="0"/>
        <v>1.6457581701951447E-2</v>
      </c>
      <c r="X18" s="27"/>
      <c r="Y18" s="27"/>
      <c r="Z18" s="27"/>
      <c r="AA18" s="27"/>
      <c r="AB18" s="27"/>
    </row>
    <row r="19" spans="1:28" ht="12.95" customHeight="1" thickBot="1" x14ac:dyDescent="0.25">
      <c r="A19" s="30" t="s">
        <v>54</v>
      </c>
      <c r="B19" s="27"/>
      <c r="C19" s="51">
        <f>+D15</f>
        <v>60002.852321441103</v>
      </c>
      <c r="D19" s="52">
        <f>+D16</f>
        <v>0.8963099698057706</v>
      </c>
      <c r="E19" s="45"/>
      <c r="F19" s="5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48">
        <v>8000</v>
      </c>
      <c r="W19" s="48">
        <f t="shared" si="0"/>
        <v>1.9766173966096798E-2</v>
      </c>
      <c r="X19" s="27"/>
      <c r="Y19" s="27"/>
      <c r="Z19" s="27"/>
      <c r="AA19" s="27"/>
      <c r="AB19" s="27"/>
    </row>
    <row r="20" spans="1:28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54" t="s">
        <v>66</v>
      </c>
      <c r="I20" s="54" t="s">
        <v>69</v>
      </c>
      <c r="J20" s="54" t="s">
        <v>63</v>
      </c>
      <c r="K20" s="54" t="s">
        <v>61</v>
      </c>
      <c r="L20" s="54" t="s">
        <v>25</v>
      </c>
      <c r="M20" s="54" t="s">
        <v>26</v>
      </c>
      <c r="N20" s="54" t="s">
        <v>27</v>
      </c>
      <c r="O20" s="54" t="s">
        <v>23</v>
      </c>
      <c r="P20" s="55" t="s">
        <v>22</v>
      </c>
      <c r="Q20" s="38" t="s">
        <v>15</v>
      </c>
      <c r="R20" s="54" t="s">
        <v>55</v>
      </c>
      <c r="S20" s="56" t="s">
        <v>56</v>
      </c>
      <c r="T20" s="54" t="s">
        <v>57</v>
      </c>
      <c r="U20" s="27"/>
      <c r="V20" s="27">
        <v>8500</v>
      </c>
      <c r="W20" s="27">
        <f t="shared" si="0"/>
        <v>2.3364246227738496E-2</v>
      </c>
      <c r="X20" s="27"/>
      <c r="Y20" s="27"/>
      <c r="Z20" s="27"/>
      <c r="AA20" s="27"/>
      <c r="AB20" s="27"/>
    </row>
    <row r="21" spans="1:28" ht="12.95" customHeight="1" x14ac:dyDescent="0.2">
      <c r="A21" s="27" t="str">
        <f>$D$7</f>
        <v>VSX</v>
      </c>
      <c r="B21" s="28"/>
      <c r="C21" s="57">
        <f>$C$7</f>
        <v>49687.296000000002</v>
      </c>
      <c r="D21" s="84">
        <v>2.9999999999999997E-4</v>
      </c>
      <c r="E21" s="27">
        <f t="shared" ref="E21:E62" si="1">+(C21-C$7)/C$8</f>
        <v>0</v>
      </c>
      <c r="F21" s="27">
        <f t="shared" ref="F21:F62" si="2">ROUND(2*E21,0)/2</f>
        <v>0</v>
      </c>
      <c r="G21" s="27">
        <f t="shared" ref="G21:G62" si="3">+C21-(C$7+F21*C$8)</f>
        <v>0</v>
      </c>
      <c r="H21" s="27"/>
      <c r="I21" s="27"/>
      <c r="J21" s="27"/>
      <c r="K21" s="27">
        <f t="shared" ref="K21:K26" si="4">+G21</f>
        <v>0</v>
      </c>
      <c r="L21" s="27"/>
      <c r="M21" s="27"/>
      <c r="N21" s="27"/>
      <c r="O21" s="27">
        <f ca="1">+C$11+C$12*$F21</f>
        <v>-2.8534276573782293E-2</v>
      </c>
      <c r="P21" s="35">
        <f t="shared" ref="P21:P62" si="5">+D$11+D$12*F21+D$13*F21^2</f>
        <v>1.5662974393329033E-3</v>
      </c>
      <c r="Q21" s="59">
        <f t="shared" ref="Q21:Q62" si="6">+C21-15018.5</f>
        <v>34668.796000000002</v>
      </c>
      <c r="R21" s="29">
        <f t="shared" ref="R21:R62" si="7">+(P21-G21)^2</f>
        <v>2.4532876684608101E-6</v>
      </c>
      <c r="S21" s="29">
        <v>1</v>
      </c>
      <c r="T21" s="29">
        <f t="shared" ref="T21:T62" si="8">+S21*R21</f>
        <v>2.4532876684608101E-6</v>
      </c>
      <c r="U21" s="27"/>
      <c r="V21" s="27"/>
      <c r="W21" s="27"/>
      <c r="X21" s="27"/>
      <c r="Y21" s="27"/>
      <c r="Z21" s="27"/>
      <c r="AA21" s="27"/>
      <c r="AB21" s="27"/>
    </row>
    <row r="22" spans="1:28" ht="12.95" customHeight="1" x14ac:dyDescent="0.2">
      <c r="A22" s="27" t="s">
        <v>37</v>
      </c>
      <c r="B22" s="28"/>
      <c r="C22" s="57">
        <v>52500.767800000001</v>
      </c>
      <c r="D22" s="57" t="s">
        <v>14</v>
      </c>
      <c r="E22" s="27">
        <f t="shared" si="1"/>
        <v>3138.9879939618359</v>
      </c>
      <c r="F22" s="27">
        <f t="shared" si="2"/>
        <v>3139</v>
      </c>
      <c r="G22" s="27">
        <f t="shared" si="3"/>
        <v>-1.0760999997728504E-2</v>
      </c>
      <c r="H22" s="27"/>
      <c r="I22" s="27"/>
      <c r="J22" s="27"/>
      <c r="K22" s="27">
        <f t="shared" si="4"/>
        <v>-1.0760999997728504E-2</v>
      </c>
      <c r="L22" s="27"/>
      <c r="M22" s="27"/>
      <c r="N22" s="27"/>
      <c r="O22" s="29"/>
      <c r="P22" s="35">
        <f t="shared" si="5"/>
        <v>-1.2669072591327268E-4</v>
      </c>
      <c r="Q22" s="58">
        <f t="shared" si="6"/>
        <v>37482.267800000001</v>
      </c>
      <c r="R22" s="29">
        <f t="shared" si="7"/>
        <v>1.1308853368861539E-4</v>
      </c>
      <c r="S22" s="29">
        <v>1</v>
      </c>
      <c r="T22" s="29">
        <f t="shared" si="8"/>
        <v>1.1308853368861539E-4</v>
      </c>
      <c r="U22" s="27"/>
      <c r="V22" s="27"/>
      <c r="W22" s="27"/>
      <c r="X22" s="27"/>
      <c r="Y22" s="27"/>
      <c r="Z22" s="27"/>
      <c r="AA22" s="27"/>
      <c r="AB22" s="27"/>
    </row>
    <row r="23" spans="1:28" ht="12.95" customHeight="1" x14ac:dyDescent="0.2">
      <c r="A23" s="7" t="s">
        <v>40</v>
      </c>
      <c r="B23" s="8" t="s">
        <v>39</v>
      </c>
      <c r="C23" s="7">
        <v>53108.455600000001</v>
      </c>
      <c r="D23" s="7" t="s">
        <v>41</v>
      </c>
      <c r="E23" s="27">
        <f t="shared" si="1"/>
        <v>3816.9847338890249</v>
      </c>
      <c r="F23" s="27">
        <f t="shared" si="2"/>
        <v>3817</v>
      </c>
      <c r="G23" s="27">
        <f t="shared" si="3"/>
        <v>-1.3682999997399747E-2</v>
      </c>
      <c r="H23" s="27"/>
      <c r="I23" s="27"/>
      <c r="J23" s="27"/>
      <c r="K23" s="27">
        <f t="shared" si="4"/>
        <v>-1.3682999997399747E-2</v>
      </c>
      <c r="L23" s="27"/>
      <c r="M23" s="27"/>
      <c r="N23" s="27"/>
      <c r="O23" s="27"/>
      <c r="P23" s="35">
        <f t="shared" si="5"/>
        <v>1.0059423985542965E-3</v>
      </c>
      <c r="Q23" s="59">
        <f t="shared" si="6"/>
        <v>38089.955600000001</v>
      </c>
      <c r="R23" s="29">
        <f t="shared" si="7"/>
        <v>2.1576502871165613E-4</v>
      </c>
      <c r="S23" s="29">
        <v>1</v>
      </c>
      <c r="T23" s="29">
        <f t="shared" si="8"/>
        <v>2.1576502871165613E-4</v>
      </c>
      <c r="U23" s="27"/>
      <c r="V23" s="27"/>
      <c r="W23" s="27"/>
      <c r="X23" s="27"/>
      <c r="Y23" s="27"/>
      <c r="Z23" s="27"/>
      <c r="AA23" s="27"/>
      <c r="AB23" s="27"/>
    </row>
    <row r="24" spans="1:28" ht="12.95" customHeight="1" x14ac:dyDescent="0.2">
      <c r="A24" s="7" t="s">
        <v>40</v>
      </c>
      <c r="B24" s="8" t="s">
        <v>39</v>
      </c>
      <c r="C24" s="7">
        <v>53109.354180000002</v>
      </c>
      <c r="D24" s="7" t="s">
        <v>41</v>
      </c>
      <c r="E24" s="27">
        <f t="shared" si="1"/>
        <v>3817.9872787987047</v>
      </c>
      <c r="F24" s="27">
        <f t="shared" si="2"/>
        <v>3818</v>
      </c>
      <c r="G24" s="27">
        <f t="shared" si="3"/>
        <v>-1.1401999996451195E-2</v>
      </c>
      <c r="H24" s="27"/>
      <c r="I24" s="27"/>
      <c r="J24" s="27"/>
      <c r="K24" s="27">
        <f t="shared" si="4"/>
        <v>-1.1401999996451195E-2</v>
      </c>
      <c r="L24" s="27"/>
      <c r="M24" s="27"/>
      <c r="N24" s="27"/>
      <c r="O24" s="27"/>
      <c r="P24" s="35">
        <f t="shared" si="5"/>
        <v>1.0080060627219688E-3</v>
      </c>
      <c r="Q24" s="59">
        <f t="shared" si="6"/>
        <v>38090.854180000002</v>
      </c>
      <c r="R24" s="29">
        <f t="shared" si="7"/>
        <v>1.5400825038871464E-4</v>
      </c>
      <c r="S24" s="29">
        <v>1</v>
      </c>
      <c r="T24" s="29">
        <f t="shared" si="8"/>
        <v>1.5400825038871464E-4</v>
      </c>
      <c r="U24" s="27"/>
      <c r="V24" s="27"/>
      <c r="W24" s="27"/>
      <c r="X24" s="27"/>
      <c r="Y24" s="27"/>
      <c r="Z24" s="27"/>
      <c r="AA24" s="27"/>
      <c r="AB24" s="27"/>
    </row>
    <row r="25" spans="1:28" ht="12.95" customHeight="1" x14ac:dyDescent="0.2">
      <c r="A25" s="7" t="s">
        <v>40</v>
      </c>
      <c r="B25" s="8" t="s">
        <v>39</v>
      </c>
      <c r="C25" s="7">
        <v>53117.418449999997</v>
      </c>
      <c r="D25" s="7" t="s">
        <v>41</v>
      </c>
      <c r="E25" s="27">
        <f t="shared" si="1"/>
        <v>3826.9845776911448</v>
      </c>
      <c r="F25" s="27">
        <f t="shared" si="2"/>
        <v>3827</v>
      </c>
      <c r="G25" s="27">
        <f t="shared" si="3"/>
        <v>-1.3823000001139008E-2</v>
      </c>
      <c r="H25" s="27"/>
      <c r="I25" s="27"/>
      <c r="J25" s="27"/>
      <c r="K25" s="27">
        <f t="shared" si="4"/>
        <v>-1.3823000001139008E-2</v>
      </c>
      <c r="L25" s="27"/>
      <c r="M25" s="27"/>
      <c r="N25" s="27"/>
      <c r="O25" s="27"/>
      <c r="P25" s="35">
        <f t="shared" si="5"/>
        <v>1.0266311466305758E-3</v>
      </c>
      <c r="Q25" s="59">
        <f t="shared" si="6"/>
        <v>38098.918449999997</v>
      </c>
      <c r="R25" s="29">
        <f t="shared" si="7"/>
        <v>2.2051154522480858E-4</v>
      </c>
      <c r="S25" s="29">
        <v>1</v>
      </c>
      <c r="T25" s="29">
        <f t="shared" si="8"/>
        <v>2.2051154522480858E-4</v>
      </c>
      <c r="U25" s="27"/>
      <c r="V25" s="27"/>
      <c r="W25" s="27"/>
      <c r="X25" s="27"/>
      <c r="Y25" s="27"/>
      <c r="Z25" s="27"/>
      <c r="AA25" s="27"/>
      <c r="AB25" s="27"/>
    </row>
    <row r="26" spans="1:28" ht="12.95" customHeight="1" x14ac:dyDescent="0.2">
      <c r="A26" s="7" t="s">
        <v>40</v>
      </c>
      <c r="B26" s="8" t="s">
        <v>39</v>
      </c>
      <c r="C26" s="7">
        <v>53340.596510000003</v>
      </c>
      <c r="D26" s="7" t="s">
        <v>42</v>
      </c>
      <c r="E26" s="27">
        <f t="shared" si="1"/>
        <v>4075.9841414527978</v>
      </c>
      <c r="F26" s="27">
        <f t="shared" si="2"/>
        <v>4076</v>
      </c>
      <c r="G26" s="27">
        <f t="shared" si="3"/>
        <v>-1.4213999995263293E-2</v>
      </c>
      <c r="H26" s="27"/>
      <c r="I26" s="27"/>
      <c r="J26" s="27"/>
      <c r="K26" s="27">
        <f t="shared" si="4"/>
        <v>-1.4213999995263293E-2</v>
      </c>
      <c r="L26" s="27"/>
      <c r="M26" s="27"/>
      <c r="N26" s="27"/>
      <c r="O26" s="27"/>
      <c r="P26" s="35">
        <f t="shared" si="5"/>
        <v>1.5791186827670452E-3</v>
      </c>
      <c r="Q26" s="59">
        <f t="shared" si="6"/>
        <v>38322.096510000003</v>
      </c>
      <c r="R26" s="29">
        <f t="shared" si="7"/>
        <v>2.4942259757835075E-4</v>
      </c>
      <c r="S26" s="29">
        <v>1</v>
      </c>
      <c r="T26" s="29">
        <f t="shared" si="8"/>
        <v>2.4942259757835075E-4</v>
      </c>
      <c r="U26" s="27"/>
      <c r="V26" s="27"/>
      <c r="W26" s="27"/>
      <c r="X26" s="27"/>
      <c r="Y26" s="27"/>
      <c r="Z26" s="27"/>
      <c r="AA26" s="27"/>
      <c r="AB26" s="27"/>
    </row>
    <row r="27" spans="1:28" ht="12.95" customHeight="1" x14ac:dyDescent="0.2">
      <c r="A27" s="60" t="s">
        <v>46</v>
      </c>
      <c r="B27" s="8" t="s">
        <v>39</v>
      </c>
      <c r="C27" s="7">
        <v>53374.665000000001</v>
      </c>
      <c r="D27" s="7">
        <v>5.0000000000000001E-3</v>
      </c>
      <c r="E27" s="27">
        <f t="shared" si="1"/>
        <v>4113.9943255543058</v>
      </c>
      <c r="F27" s="27">
        <f t="shared" si="2"/>
        <v>4114</v>
      </c>
      <c r="G27" s="27">
        <f t="shared" si="3"/>
        <v>-5.0859999973908998E-3</v>
      </c>
      <c r="H27" s="27"/>
      <c r="I27" s="27">
        <f>+G27</f>
        <v>-5.0859999973908998E-3</v>
      </c>
      <c r="J27" s="27"/>
      <c r="K27" s="27"/>
      <c r="L27" s="27"/>
      <c r="M27" s="27"/>
      <c r="N27" s="27"/>
      <c r="O27" s="27"/>
      <c r="P27" s="35">
        <f t="shared" si="5"/>
        <v>1.6697481874330192E-3</v>
      </c>
      <c r="Q27" s="59">
        <f t="shared" si="6"/>
        <v>38356.165000000001</v>
      </c>
      <c r="R27" s="29">
        <f t="shared" si="7"/>
        <v>4.5640133536751674E-5</v>
      </c>
      <c r="S27" s="29">
        <v>0.1</v>
      </c>
      <c r="T27" s="29">
        <f t="shared" si="8"/>
        <v>4.5640133536751677E-6</v>
      </c>
      <c r="U27" s="27"/>
      <c r="V27" s="27"/>
      <c r="W27" s="27"/>
      <c r="X27" s="27"/>
      <c r="Y27" s="27"/>
      <c r="Z27" s="27"/>
      <c r="AA27" s="27"/>
      <c r="AB27" s="27"/>
    </row>
    <row r="28" spans="1:28" ht="12.95" customHeight="1" x14ac:dyDescent="0.2">
      <c r="A28" s="7" t="s">
        <v>40</v>
      </c>
      <c r="B28" s="8" t="s">
        <v>43</v>
      </c>
      <c r="C28" s="7">
        <v>53388.548849999999</v>
      </c>
      <c r="D28" s="7" t="s">
        <v>42</v>
      </c>
      <c r="E28" s="27">
        <f t="shared" si="1"/>
        <v>4129.4845246954392</v>
      </c>
      <c r="F28" s="27">
        <f t="shared" si="2"/>
        <v>4129.5</v>
      </c>
      <c r="G28" s="27">
        <f t="shared" si="3"/>
        <v>-1.3870500006305519E-2</v>
      </c>
      <c r="H28" s="27"/>
      <c r="I28" s="27"/>
      <c r="J28" s="27"/>
      <c r="K28" s="27">
        <f t="shared" ref="K28:K45" si="9">+G28</f>
        <v>-1.3870500006305519E-2</v>
      </c>
      <c r="L28" s="27"/>
      <c r="M28" s="27"/>
      <c r="N28" s="27"/>
      <c r="O28" s="27"/>
      <c r="P28" s="35">
        <f t="shared" si="5"/>
        <v>1.7071955879647271E-3</v>
      </c>
      <c r="Q28" s="59">
        <f t="shared" si="6"/>
        <v>38370.048849999999</v>
      </c>
      <c r="R28" s="29">
        <f t="shared" si="7"/>
        <v>2.4266460002774667E-4</v>
      </c>
      <c r="S28" s="29">
        <v>1</v>
      </c>
      <c r="T28" s="29">
        <f t="shared" si="8"/>
        <v>2.4266460002774667E-4</v>
      </c>
      <c r="U28" s="27"/>
      <c r="V28" s="27"/>
      <c r="W28" s="27"/>
      <c r="X28" s="27"/>
      <c r="Y28" s="27"/>
      <c r="Z28" s="27"/>
      <c r="AA28" s="27"/>
      <c r="AB28" s="27"/>
    </row>
    <row r="29" spans="1:28" ht="12.95" customHeight="1" x14ac:dyDescent="0.2">
      <c r="A29" s="7" t="s">
        <v>40</v>
      </c>
      <c r="B29" s="8" t="s">
        <v>39</v>
      </c>
      <c r="C29" s="7">
        <v>53409.61148</v>
      </c>
      <c r="D29" s="7" t="s">
        <v>42</v>
      </c>
      <c r="E29" s="27">
        <f t="shared" si="1"/>
        <v>4152.9840823207405</v>
      </c>
      <c r="F29" s="27">
        <f t="shared" si="2"/>
        <v>4153</v>
      </c>
      <c r="G29" s="27">
        <f t="shared" si="3"/>
        <v>-1.4266999998653773E-2</v>
      </c>
      <c r="H29" s="27"/>
      <c r="I29" s="27"/>
      <c r="J29" s="27"/>
      <c r="K29" s="27">
        <f t="shared" si="9"/>
        <v>-1.4266999998653773E-2</v>
      </c>
      <c r="L29" s="27"/>
      <c r="M29" s="27"/>
      <c r="N29" s="27"/>
      <c r="O29" s="27"/>
      <c r="P29" s="35">
        <f t="shared" si="5"/>
        <v>1.7645012959288525E-3</v>
      </c>
      <c r="Q29" s="59">
        <f t="shared" si="6"/>
        <v>38391.11148</v>
      </c>
      <c r="R29" s="29">
        <f t="shared" si="7"/>
        <v>2.5700903375820439E-4</v>
      </c>
      <c r="S29" s="29">
        <v>1</v>
      </c>
      <c r="T29" s="29">
        <f t="shared" si="8"/>
        <v>2.5700903375820439E-4</v>
      </c>
      <c r="U29" s="27"/>
      <c r="V29" s="27"/>
      <c r="W29" s="27"/>
      <c r="X29" s="27"/>
      <c r="Y29" s="27"/>
      <c r="Z29" s="27"/>
      <c r="AA29" s="27"/>
      <c r="AB29" s="27"/>
    </row>
    <row r="30" spans="1:28" ht="12.95" customHeight="1" x14ac:dyDescent="0.2">
      <c r="A30" s="7" t="s">
        <v>40</v>
      </c>
      <c r="B30" s="8" t="s">
        <v>39</v>
      </c>
      <c r="C30" s="7">
        <v>53454.426789999998</v>
      </c>
      <c r="D30" s="7" t="s">
        <v>44</v>
      </c>
      <c r="E30" s="27">
        <f t="shared" si="1"/>
        <v>4202.9844839724201</v>
      </c>
      <c r="F30" s="27">
        <f t="shared" si="2"/>
        <v>4203</v>
      </c>
      <c r="G30" s="27">
        <f t="shared" si="3"/>
        <v>-1.3907000000472181E-2</v>
      </c>
      <c r="H30" s="27"/>
      <c r="I30" s="27"/>
      <c r="J30" s="27"/>
      <c r="K30" s="27">
        <f t="shared" si="9"/>
        <v>-1.3907000000472181E-2</v>
      </c>
      <c r="L30" s="27"/>
      <c r="M30" s="27"/>
      <c r="N30" s="27"/>
      <c r="O30" s="27"/>
      <c r="P30" s="35">
        <f t="shared" si="5"/>
        <v>1.8885560121319981E-3</v>
      </c>
      <c r="Q30" s="59">
        <f t="shared" si="6"/>
        <v>38435.926789999998</v>
      </c>
      <c r="R30" s="29">
        <f t="shared" si="7"/>
        <v>2.4949958974731596E-4</v>
      </c>
      <c r="S30" s="29">
        <v>1</v>
      </c>
      <c r="T30" s="29">
        <f t="shared" si="8"/>
        <v>2.4949958974731596E-4</v>
      </c>
      <c r="U30" s="27"/>
      <c r="V30" s="27"/>
      <c r="W30" s="27"/>
      <c r="X30" s="27"/>
      <c r="Y30" s="27"/>
      <c r="Z30" s="27"/>
      <c r="AA30" s="27"/>
      <c r="AB30" s="27"/>
    </row>
    <row r="31" spans="1:28" ht="12.95" customHeight="1" x14ac:dyDescent="0.2">
      <c r="A31" s="7" t="s">
        <v>40</v>
      </c>
      <c r="B31" s="8" t="s">
        <v>39</v>
      </c>
      <c r="C31" s="7">
        <v>53462.492680000003</v>
      </c>
      <c r="D31" s="7" t="s">
        <v>42</v>
      </c>
      <c r="E31" s="27">
        <f t="shared" si="1"/>
        <v>4211.9835902974355</v>
      </c>
      <c r="F31" s="27">
        <f t="shared" si="2"/>
        <v>4212</v>
      </c>
      <c r="G31" s="27">
        <f t="shared" si="3"/>
        <v>-1.4707999995152932E-2</v>
      </c>
      <c r="H31" s="27"/>
      <c r="I31" s="27"/>
      <c r="J31" s="27"/>
      <c r="K31" s="27">
        <f t="shared" si="9"/>
        <v>-1.4707999995152932E-2</v>
      </c>
      <c r="L31" s="27"/>
      <c r="M31" s="27"/>
      <c r="N31" s="27"/>
      <c r="O31" s="27"/>
      <c r="P31" s="35">
        <f t="shared" si="5"/>
        <v>1.9111932888059065E-3</v>
      </c>
      <c r="Q31" s="59">
        <f t="shared" si="6"/>
        <v>38443.992680000003</v>
      </c>
      <c r="R31" s="29">
        <f t="shared" si="7"/>
        <v>2.7619758540958262E-4</v>
      </c>
      <c r="S31" s="29">
        <v>1</v>
      </c>
      <c r="T31" s="29">
        <f t="shared" si="8"/>
        <v>2.7619758540958262E-4</v>
      </c>
      <c r="U31" s="27"/>
      <c r="V31" s="27"/>
      <c r="W31" s="27"/>
      <c r="X31" s="27"/>
      <c r="Y31" s="27"/>
      <c r="Z31" s="27"/>
      <c r="AA31" s="27"/>
      <c r="AB31" s="27"/>
    </row>
    <row r="32" spans="1:28" ht="12.95" customHeight="1" x14ac:dyDescent="0.2">
      <c r="A32" s="7" t="s">
        <v>40</v>
      </c>
      <c r="B32" s="8" t="s">
        <v>39</v>
      </c>
      <c r="C32" s="7">
        <v>53463.389880000002</v>
      </c>
      <c r="D32" s="7" t="s">
        <v>42</v>
      </c>
      <c r="E32" s="27">
        <f t="shared" si="1"/>
        <v>4212.9845955423361</v>
      </c>
      <c r="F32" s="27">
        <f t="shared" si="2"/>
        <v>4213</v>
      </c>
      <c r="G32" s="27">
        <f t="shared" si="3"/>
        <v>-1.3806999995722435E-2</v>
      </c>
      <c r="H32" s="27"/>
      <c r="I32" s="27"/>
      <c r="J32" s="27"/>
      <c r="K32" s="27">
        <f t="shared" si="9"/>
        <v>-1.3806999995722435E-2</v>
      </c>
      <c r="L32" s="27"/>
      <c r="M32" s="27"/>
      <c r="N32" s="27"/>
      <c r="O32" s="27"/>
      <c r="P32" s="35">
        <f t="shared" si="5"/>
        <v>1.9137143313696231E-3</v>
      </c>
      <c r="Q32" s="59">
        <f t="shared" si="6"/>
        <v>38444.889880000002</v>
      </c>
      <c r="R32" s="29">
        <f t="shared" si="7"/>
        <v>2.4714085895403753E-4</v>
      </c>
      <c r="S32" s="29">
        <v>1</v>
      </c>
      <c r="T32" s="29">
        <f t="shared" si="8"/>
        <v>2.4714085895403753E-4</v>
      </c>
      <c r="U32" s="27"/>
      <c r="V32" s="27"/>
      <c r="W32" s="27"/>
      <c r="X32" s="27"/>
      <c r="Y32" s="27"/>
      <c r="Z32" s="27"/>
      <c r="AA32" s="27"/>
      <c r="AB32" s="27"/>
    </row>
    <row r="33" spans="1:28" ht="12.95" customHeight="1" x14ac:dyDescent="0.2">
      <c r="A33" s="7" t="s">
        <v>40</v>
      </c>
      <c r="B33" s="8" t="s">
        <v>39</v>
      </c>
      <c r="C33" s="7">
        <v>53515.378140000001</v>
      </c>
      <c r="D33" s="7" t="s">
        <v>42</v>
      </c>
      <c r="E33" s="27">
        <f t="shared" si="1"/>
        <v>4270.9878511523484</v>
      </c>
      <c r="F33" s="27">
        <f t="shared" si="2"/>
        <v>4271</v>
      </c>
      <c r="G33" s="27">
        <f t="shared" si="3"/>
        <v>-1.0888999997405335E-2</v>
      </c>
      <c r="H33" s="27"/>
      <c r="I33" s="27"/>
      <c r="J33" s="27"/>
      <c r="K33" s="27">
        <f t="shared" si="9"/>
        <v>-1.0888999997405335E-2</v>
      </c>
      <c r="L33" s="27"/>
      <c r="M33" s="27"/>
      <c r="N33" s="27"/>
      <c r="O33" s="27"/>
      <c r="P33" s="35">
        <f t="shared" si="5"/>
        <v>2.0619160011680956E-3</v>
      </c>
      <c r="Q33" s="59">
        <f t="shared" si="6"/>
        <v>38496.878140000001</v>
      </c>
      <c r="R33" s="29">
        <f t="shared" si="7"/>
        <v>1.6772622520210524E-4</v>
      </c>
      <c r="S33" s="29">
        <v>1</v>
      </c>
      <c r="T33" s="29">
        <f t="shared" si="8"/>
        <v>1.6772622520210524E-4</v>
      </c>
      <c r="U33" s="27"/>
      <c r="V33" s="27"/>
      <c r="W33" s="27"/>
      <c r="X33" s="27"/>
      <c r="Y33" s="27"/>
      <c r="Z33" s="27"/>
      <c r="AA33" s="27"/>
      <c r="AB33" s="27"/>
    </row>
    <row r="34" spans="1:28" ht="12.95" customHeight="1" x14ac:dyDescent="0.2">
      <c r="A34" s="7" t="s">
        <v>40</v>
      </c>
      <c r="B34" s="8" t="s">
        <v>39</v>
      </c>
      <c r="C34" s="7">
        <v>53791.435250000002</v>
      </c>
      <c r="D34" s="7" t="s">
        <v>42</v>
      </c>
      <c r="E34" s="27">
        <f t="shared" si="1"/>
        <v>4578.9845241375933</v>
      </c>
      <c r="F34" s="27">
        <f t="shared" si="2"/>
        <v>4579</v>
      </c>
      <c r="G34" s="27">
        <f t="shared" si="3"/>
        <v>-1.3870999995560851E-2</v>
      </c>
      <c r="H34" s="27"/>
      <c r="I34" s="27"/>
      <c r="J34" s="27"/>
      <c r="K34" s="27">
        <f t="shared" si="9"/>
        <v>-1.3870999995560851E-2</v>
      </c>
      <c r="L34" s="27"/>
      <c r="M34" s="27"/>
      <c r="N34" s="27"/>
      <c r="O34" s="27"/>
      <c r="P34" s="35">
        <f t="shared" si="5"/>
        <v>2.914182974137593E-3</v>
      </c>
      <c r="Q34" s="59">
        <f t="shared" si="6"/>
        <v>38772.935250000002</v>
      </c>
      <c r="R34" s="29">
        <f t="shared" si="7"/>
        <v>2.8174236732625462E-4</v>
      </c>
      <c r="S34" s="29">
        <v>1</v>
      </c>
      <c r="T34" s="29">
        <f t="shared" si="8"/>
        <v>2.8174236732625462E-4</v>
      </c>
      <c r="U34" s="27"/>
      <c r="V34" s="27"/>
      <c r="W34" s="27"/>
      <c r="X34" s="27"/>
      <c r="Y34" s="27"/>
      <c r="Z34" s="27"/>
      <c r="AA34" s="27"/>
      <c r="AB34" s="27"/>
    </row>
    <row r="35" spans="1:28" ht="12.95" customHeight="1" x14ac:dyDescent="0.2">
      <c r="A35" s="7" t="s">
        <v>40</v>
      </c>
      <c r="B35" s="8" t="s">
        <v>39</v>
      </c>
      <c r="C35" s="7">
        <v>53833.560590000001</v>
      </c>
      <c r="D35" s="7" t="s">
        <v>41</v>
      </c>
      <c r="E35" s="27">
        <f t="shared" si="1"/>
        <v>4625.9837286441234</v>
      </c>
      <c r="F35" s="27">
        <f t="shared" si="2"/>
        <v>4626</v>
      </c>
      <c r="G35" s="27">
        <f t="shared" si="3"/>
        <v>-1.4584000004106201E-2</v>
      </c>
      <c r="H35" s="27"/>
      <c r="I35" s="27"/>
      <c r="J35" s="27"/>
      <c r="K35" s="27">
        <f t="shared" si="9"/>
        <v>-1.4584000004106201E-2</v>
      </c>
      <c r="L35" s="27"/>
      <c r="M35" s="27"/>
      <c r="N35" s="27"/>
      <c r="O35" s="27"/>
      <c r="P35" s="35">
        <f t="shared" si="5"/>
        <v>3.0538966480487418E-3</v>
      </c>
      <c r="Q35" s="59">
        <f t="shared" si="6"/>
        <v>38815.060590000001</v>
      </c>
      <c r="R35" s="29">
        <f t="shared" si="7"/>
        <v>3.1109539831209848E-4</v>
      </c>
      <c r="S35" s="29">
        <v>1</v>
      </c>
      <c r="T35" s="29">
        <f t="shared" si="8"/>
        <v>3.1109539831209848E-4</v>
      </c>
      <c r="U35" s="27"/>
      <c r="V35" s="27"/>
      <c r="W35" s="27"/>
      <c r="X35" s="27"/>
      <c r="Y35" s="27"/>
      <c r="Z35" s="27"/>
      <c r="AA35" s="27"/>
      <c r="AB35" s="27"/>
    </row>
    <row r="36" spans="1:28" ht="12.95" customHeight="1" x14ac:dyDescent="0.2">
      <c r="A36" s="7" t="s">
        <v>40</v>
      </c>
      <c r="B36" s="8" t="s">
        <v>43</v>
      </c>
      <c r="C36" s="7">
        <v>53848.351730000002</v>
      </c>
      <c r="D36" s="7" t="s">
        <v>41</v>
      </c>
      <c r="E36" s="27">
        <f t="shared" si="1"/>
        <v>4642.4861904342188</v>
      </c>
      <c r="F36" s="27">
        <f t="shared" si="2"/>
        <v>4642.5</v>
      </c>
      <c r="G36" s="27">
        <f t="shared" si="3"/>
        <v>-1.2377500002912711E-2</v>
      </c>
      <c r="H36" s="27"/>
      <c r="I36" s="27"/>
      <c r="J36" s="27"/>
      <c r="K36" s="27">
        <f t="shared" si="9"/>
        <v>-1.2377500002912711E-2</v>
      </c>
      <c r="L36" s="27"/>
      <c r="M36" s="27"/>
      <c r="N36" s="27"/>
      <c r="O36" s="27"/>
      <c r="P36" s="35">
        <f t="shared" si="5"/>
        <v>3.1035516708203901E-3</v>
      </c>
      <c r="Q36" s="59">
        <f t="shared" si="6"/>
        <v>38829.851730000002</v>
      </c>
      <c r="R36" s="29">
        <f t="shared" si="7"/>
        <v>2.3966296092479446E-4</v>
      </c>
      <c r="S36" s="29">
        <v>1</v>
      </c>
      <c r="T36" s="29">
        <f t="shared" si="8"/>
        <v>2.3966296092479446E-4</v>
      </c>
      <c r="U36" s="27"/>
      <c r="V36" s="27"/>
      <c r="W36" s="27"/>
      <c r="X36" s="27"/>
      <c r="Y36" s="27"/>
      <c r="Z36" s="27"/>
      <c r="AA36" s="27"/>
      <c r="AB36" s="27"/>
    </row>
    <row r="37" spans="1:28" ht="12.95" customHeight="1" x14ac:dyDescent="0.2">
      <c r="A37" s="7" t="s">
        <v>40</v>
      </c>
      <c r="B37" s="8" t="s">
        <v>39</v>
      </c>
      <c r="C37" s="7">
        <v>54171.464090000001</v>
      </c>
      <c r="D37" s="7">
        <v>2.0000000000000001E-4</v>
      </c>
      <c r="E37" s="27">
        <f t="shared" si="1"/>
        <v>5002.9823641441071</v>
      </c>
      <c r="F37" s="27">
        <f t="shared" si="2"/>
        <v>5003</v>
      </c>
      <c r="G37" s="27">
        <f t="shared" si="3"/>
        <v>-1.5807000003405847E-2</v>
      </c>
      <c r="H37" s="27"/>
      <c r="I37" s="27"/>
      <c r="J37" s="27"/>
      <c r="K37" s="27">
        <f t="shared" si="9"/>
        <v>-1.5807000003405847E-2</v>
      </c>
      <c r="L37" s="27"/>
      <c r="M37" s="27"/>
      <c r="N37" s="27"/>
      <c r="O37" s="27"/>
      <c r="P37" s="35">
        <f t="shared" si="5"/>
        <v>4.2671242679773423E-3</v>
      </c>
      <c r="Q37" s="59">
        <f t="shared" si="6"/>
        <v>39152.964090000001</v>
      </c>
      <c r="R37" s="29">
        <f t="shared" si="7"/>
        <v>4.0297046526293565E-4</v>
      </c>
      <c r="S37" s="29">
        <v>1</v>
      </c>
      <c r="T37" s="29">
        <f t="shared" si="8"/>
        <v>4.0297046526293565E-4</v>
      </c>
      <c r="U37" s="27"/>
      <c r="V37" s="27"/>
      <c r="W37" s="27"/>
      <c r="X37" s="27"/>
      <c r="Y37" s="27"/>
      <c r="Z37" s="27"/>
      <c r="AA37" s="27"/>
      <c r="AB37" s="27"/>
    </row>
    <row r="38" spans="1:28" ht="12.95" customHeight="1" x14ac:dyDescent="0.2">
      <c r="A38" s="7" t="s">
        <v>40</v>
      </c>
      <c r="B38" s="8" t="s">
        <v>39</v>
      </c>
      <c r="C38" s="7">
        <v>54171.464189999999</v>
      </c>
      <c r="D38" s="7">
        <v>5.0000000000000001E-4</v>
      </c>
      <c r="E38" s="27">
        <f t="shared" si="1"/>
        <v>5002.9824757140159</v>
      </c>
      <c r="F38" s="27">
        <f t="shared" si="2"/>
        <v>5003</v>
      </c>
      <c r="G38" s="27">
        <f t="shared" si="3"/>
        <v>-1.5707000005932059E-2</v>
      </c>
      <c r="H38" s="27"/>
      <c r="I38" s="27"/>
      <c r="J38" s="27"/>
      <c r="K38" s="27">
        <f t="shared" si="9"/>
        <v>-1.5707000005932059E-2</v>
      </c>
      <c r="L38" s="27"/>
      <c r="M38" s="27"/>
      <c r="N38" s="27"/>
      <c r="O38" s="27"/>
      <c r="P38" s="35">
        <f t="shared" si="5"/>
        <v>4.2671242679773423E-3</v>
      </c>
      <c r="Q38" s="59">
        <f t="shared" si="6"/>
        <v>39152.964189999999</v>
      </c>
      <c r="R38" s="29">
        <f t="shared" si="7"/>
        <v>3.9896564050957679E-4</v>
      </c>
      <c r="S38" s="29">
        <v>1</v>
      </c>
      <c r="T38" s="29">
        <f t="shared" si="8"/>
        <v>3.9896564050957679E-4</v>
      </c>
      <c r="U38" s="27"/>
      <c r="V38" s="27"/>
      <c r="W38" s="27"/>
      <c r="X38" s="27"/>
      <c r="Y38" s="27"/>
      <c r="Z38" s="27"/>
      <c r="AA38" s="27"/>
      <c r="AB38" s="27"/>
    </row>
    <row r="39" spans="1:28" ht="12.95" customHeight="1" x14ac:dyDescent="0.2">
      <c r="A39" s="7" t="s">
        <v>40</v>
      </c>
      <c r="B39" s="8" t="s">
        <v>39</v>
      </c>
      <c r="C39" s="7">
        <v>54171.464590000003</v>
      </c>
      <c r="D39" s="7">
        <v>2.0000000000000001E-4</v>
      </c>
      <c r="E39" s="27">
        <f t="shared" si="1"/>
        <v>5002.9829219936664</v>
      </c>
      <c r="F39" s="27">
        <f t="shared" si="2"/>
        <v>5003</v>
      </c>
      <c r="G39" s="27">
        <f t="shared" si="3"/>
        <v>-1.5307000001484994E-2</v>
      </c>
      <c r="H39" s="27"/>
      <c r="I39" s="27"/>
      <c r="J39" s="27"/>
      <c r="K39" s="27">
        <f t="shared" si="9"/>
        <v>-1.5307000001484994E-2</v>
      </c>
      <c r="L39" s="27"/>
      <c r="M39" s="27"/>
      <c r="N39" s="27"/>
      <c r="O39" s="27"/>
      <c r="P39" s="35">
        <f t="shared" si="5"/>
        <v>4.2671242679773423E-3</v>
      </c>
      <c r="Q39" s="59">
        <f t="shared" si="6"/>
        <v>39152.964590000003</v>
      </c>
      <c r="R39" s="29">
        <f t="shared" si="7"/>
        <v>3.8314634091635445E-4</v>
      </c>
      <c r="S39" s="29">
        <v>1</v>
      </c>
      <c r="T39" s="29">
        <f t="shared" si="8"/>
        <v>3.8314634091635445E-4</v>
      </c>
      <c r="U39" s="27"/>
      <c r="V39" s="27"/>
      <c r="W39" s="27"/>
      <c r="X39" s="27"/>
      <c r="Y39" s="27"/>
      <c r="Z39" s="27"/>
      <c r="AA39" s="27"/>
      <c r="AB39" s="27"/>
    </row>
    <row r="40" spans="1:28" ht="12.95" customHeight="1" x14ac:dyDescent="0.2">
      <c r="A40" s="7" t="s">
        <v>40</v>
      </c>
      <c r="B40" s="8" t="s">
        <v>43</v>
      </c>
      <c r="C40" s="7">
        <v>54202.386039999998</v>
      </c>
      <c r="D40" s="7">
        <v>5.9999999999999995E-4</v>
      </c>
      <c r="E40" s="27">
        <f t="shared" si="1"/>
        <v>5037.4819563560777</v>
      </c>
      <c r="F40" s="27">
        <f t="shared" si="2"/>
        <v>5037.5</v>
      </c>
      <c r="G40" s="27">
        <f t="shared" si="3"/>
        <v>-1.6172500007087365E-2</v>
      </c>
      <c r="H40" s="27"/>
      <c r="I40" s="27"/>
      <c r="J40" s="27"/>
      <c r="K40" s="27">
        <f t="shared" si="9"/>
        <v>-1.6172500007087365E-2</v>
      </c>
      <c r="L40" s="27"/>
      <c r="M40" s="27"/>
      <c r="N40" s="27"/>
      <c r="O40" s="27"/>
      <c r="P40" s="35">
        <f t="shared" si="5"/>
        <v>4.3863684270065081E-3</v>
      </c>
      <c r="Q40" s="59">
        <f t="shared" si="6"/>
        <v>39183.886039999998</v>
      </c>
      <c r="R40" s="29">
        <f t="shared" si="7"/>
        <v>4.2266707129038147E-4</v>
      </c>
      <c r="S40" s="29">
        <v>1</v>
      </c>
      <c r="T40" s="29">
        <f t="shared" si="8"/>
        <v>4.2266707129038147E-4</v>
      </c>
      <c r="U40" s="27"/>
      <c r="V40" s="27"/>
      <c r="W40" s="27"/>
      <c r="X40" s="27"/>
      <c r="Y40" s="27"/>
      <c r="Z40" s="27"/>
      <c r="AA40" s="27"/>
      <c r="AB40" s="27"/>
    </row>
    <row r="41" spans="1:28" ht="12.95" customHeight="1" x14ac:dyDescent="0.2">
      <c r="A41" s="7" t="s">
        <v>40</v>
      </c>
      <c r="B41" s="8" t="s">
        <v>43</v>
      </c>
      <c r="C41" s="7">
        <v>54202.388339999998</v>
      </c>
      <c r="D41" s="7">
        <v>6.9999999999999999E-4</v>
      </c>
      <c r="E41" s="27">
        <f t="shared" si="1"/>
        <v>5037.4845224640394</v>
      </c>
      <c r="F41" s="27">
        <f t="shared" si="2"/>
        <v>5037.5</v>
      </c>
      <c r="G41" s="27">
        <f t="shared" si="3"/>
        <v>-1.3872500006982591E-2</v>
      </c>
      <c r="H41" s="27"/>
      <c r="I41" s="27"/>
      <c r="J41" s="27"/>
      <c r="K41" s="27">
        <f t="shared" si="9"/>
        <v>-1.3872500006982591E-2</v>
      </c>
      <c r="L41" s="27"/>
      <c r="M41" s="27"/>
      <c r="N41" s="27"/>
      <c r="O41" s="27"/>
      <c r="P41" s="35">
        <f t="shared" si="5"/>
        <v>4.3863684270065081E-3</v>
      </c>
      <c r="Q41" s="59">
        <f t="shared" si="6"/>
        <v>39183.888339999998</v>
      </c>
      <c r="R41" s="29">
        <f t="shared" si="7"/>
        <v>3.3338627648972355E-4</v>
      </c>
      <c r="S41" s="29">
        <v>1</v>
      </c>
      <c r="T41" s="29">
        <f t="shared" si="8"/>
        <v>3.3338627648972355E-4</v>
      </c>
      <c r="U41" s="27"/>
      <c r="V41" s="27"/>
      <c r="W41" s="27"/>
      <c r="X41" s="27"/>
      <c r="Y41" s="27"/>
      <c r="Z41" s="27"/>
      <c r="AA41" s="27"/>
      <c r="AB41" s="27"/>
    </row>
    <row r="42" spans="1:28" ht="12.95" customHeight="1" x14ac:dyDescent="0.2">
      <c r="A42" s="61" t="s">
        <v>135</v>
      </c>
      <c r="B42" s="62" t="s">
        <v>39</v>
      </c>
      <c r="C42" s="63">
        <v>54572.108500000002</v>
      </c>
      <c r="D42" s="63" t="s">
        <v>69</v>
      </c>
      <c r="E42" s="27">
        <f t="shared" si="1"/>
        <v>5449.9809773301104</v>
      </c>
      <c r="F42" s="27">
        <f t="shared" si="2"/>
        <v>5450</v>
      </c>
      <c r="G42" s="27">
        <f t="shared" si="3"/>
        <v>-1.705000000220025E-2</v>
      </c>
      <c r="H42" s="27"/>
      <c r="I42" s="27"/>
      <c r="J42" s="27"/>
      <c r="K42" s="27">
        <f t="shared" si="9"/>
        <v>-1.705000000220025E-2</v>
      </c>
      <c r="L42" s="27"/>
      <c r="M42" s="27"/>
      <c r="N42" s="27"/>
      <c r="O42" s="27"/>
      <c r="P42" s="35">
        <f t="shared" si="5"/>
        <v>5.9188667927798106E-3</v>
      </c>
      <c r="Q42" s="59">
        <f t="shared" si="6"/>
        <v>39553.608500000002</v>
      </c>
      <c r="R42" s="29">
        <f t="shared" si="7"/>
        <v>5.2756884184553747E-4</v>
      </c>
      <c r="S42" s="29">
        <v>1</v>
      </c>
      <c r="T42" s="29">
        <f t="shared" si="8"/>
        <v>5.2756884184553747E-4</v>
      </c>
      <c r="U42" s="27"/>
      <c r="V42" s="27"/>
      <c r="W42" s="27"/>
      <c r="X42" s="27"/>
      <c r="Y42" s="27"/>
      <c r="Z42" s="27"/>
      <c r="AA42" s="27"/>
      <c r="AB42" s="27"/>
    </row>
    <row r="43" spans="1:28" ht="12.95" customHeight="1" x14ac:dyDescent="0.2">
      <c r="A43" s="7" t="s">
        <v>38</v>
      </c>
      <c r="B43" s="8" t="s">
        <v>39</v>
      </c>
      <c r="C43" s="7">
        <v>54884.913200000003</v>
      </c>
      <c r="D43" s="7">
        <v>5.9999999999999995E-4</v>
      </c>
      <c r="E43" s="27">
        <f t="shared" si="1"/>
        <v>5798.9769039126459</v>
      </c>
      <c r="F43" s="27">
        <f t="shared" si="2"/>
        <v>5799</v>
      </c>
      <c r="G43" s="27">
        <f t="shared" si="3"/>
        <v>-2.07010000012815E-2</v>
      </c>
      <c r="H43" s="27"/>
      <c r="I43" s="27"/>
      <c r="J43" s="27"/>
      <c r="K43" s="27">
        <f t="shared" si="9"/>
        <v>-2.07010000012815E-2</v>
      </c>
      <c r="L43" s="27"/>
      <c r="M43" s="27"/>
      <c r="N43" s="27"/>
      <c r="O43" s="27"/>
      <c r="P43" s="35">
        <f t="shared" si="5"/>
        <v>7.3693197235420987E-3</v>
      </c>
      <c r="Q43" s="59">
        <f t="shared" si="6"/>
        <v>39866.413200000003</v>
      </c>
      <c r="R43" s="29">
        <f t="shared" si="7"/>
        <v>7.8794284945382089E-4</v>
      </c>
      <c r="S43" s="29">
        <v>1</v>
      </c>
      <c r="T43" s="29">
        <f t="shared" si="8"/>
        <v>7.8794284945382089E-4</v>
      </c>
      <c r="U43" s="27"/>
      <c r="V43" s="27"/>
      <c r="W43" s="27"/>
      <c r="X43" s="27"/>
      <c r="Y43" s="27"/>
      <c r="Z43" s="27"/>
      <c r="AA43" s="27"/>
      <c r="AB43" s="27"/>
    </row>
    <row r="44" spans="1:28" ht="12.95" customHeight="1" x14ac:dyDescent="0.2">
      <c r="A44" s="60" t="s">
        <v>45</v>
      </c>
      <c r="B44" s="8" t="s">
        <v>43</v>
      </c>
      <c r="C44" s="7">
        <v>54937.348400000003</v>
      </c>
      <c r="D44" s="7">
        <v>8.0000000000000004E-4</v>
      </c>
      <c r="E44" s="27">
        <f t="shared" si="1"/>
        <v>5857.4788100845817</v>
      </c>
      <c r="F44" s="27">
        <f t="shared" si="2"/>
        <v>5857.5</v>
      </c>
      <c r="G44" s="27">
        <f t="shared" si="3"/>
        <v>-1.8992500001331791E-2</v>
      </c>
      <c r="H44" s="27"/>
      <c r="I44" s="37"/>
      <c r="J44" s="27"/>
      <c r="K44" s="27">
        <f t="shared" si="9"/>
        <v>-1.8992500001331791E-2</v>
      </c>
      <c r="L44" s="27"/>
      <c r="M44" s="27"/>
      <c r="N44" s="27"/>
      <c r="O44" s="27"/>
      <c r="P44" s="35">
        <f t="shared" si="5"/>
        <v>7.6262489031129702E-3</v>
      </c>
      <c r="Q44" s="59">
        <f t="shared" si="6"/>
        <v>39918.848400000003</v>
      </c>
      <c r="R44" s="29">
        <f t="shared" si="7"/>
        <v>7.0855779323787909E-4</v>
      </c>
      <c r="S44" s="29">
        <v>1</v>
      </c>
      <c r="T44" s="29">
        <f t="shared" si="8"/>
        <v>7.0855779323787909E-4</v>
      </c>
      <c r="U44" s="27"/>
      <c r="V44" s="27"/>
      <c r="W44" s="27"/>
      <c r="X44" s="27"/>
      <c r="Y44" s="27"/>
      <c r="Z44" s="27"/>
      <c r="AA44" s="27"/>
      <c r="AB44" s="27"/>
    </row>
    <row r="45" spans="1:28" ht="12.95" customHeight="1" x14ac:dyDescent="0.2">
      <c r="A45" s="7" t="s">
        <v>49</v>
      </c>
      <c r="B45" s="8" t="s">
        <v>39</v>
      </c>
      <c r="C45" s="7">
        <v>55654.833700000003</v>
      </c>
      <c r="D45" s="7">
        <v>5.0000000000000001E-4</v>
      </c>
      <c r="E45" s="27">
        <f t="shared" si="1"/>
        <v>6657.9765234592487</v>
      </c>
      <c r="F45" s="27">
        <f t="shared" si="2"/>
        <v>6658</v>
      </c>
      <c r="G45" s="27">
        <f t="shared" si="3"/>
        <v>-2.1042000000306871E-2</v>
      </c>
      <c r="H45" s="27"/>
      <c r="I45" s="27"/>
      <c r="J45" s="27"/>
      <c r="K45" s="27">
        <f t="shared" si="9"/>
        <v>-2.1042000000306871E-2</v>
      </c>
      <c r="L45" s="27"/>
      <c r="M45" s="27"/>
      <c r="N45" s="27"/>
      <c r="O45" s="27">
        <f t="shared" ref="O45:O62" ca="1" si="10">+C$11+C$12*$F45</f>
        <v>-2.0238206211524938E-2</v>
      </c>
      <c r="P45" s="35">
        <f t="shared" si="5"/>
        <v>1.1540116280912593E-2</v>
      </c>
      <c r="Q45" s="59">
        <f t="shared" si="6"/>
        <v>40636.333700000003</v>
      </c>
      <c r="R45" s="29">
        <f t="shared" si="7"/>
        <v>1.0615943013629065E-3</v>
      </c>
      <c r="S45" s="29">
        <v>1</v>
      </c>
      <c r="T45" s="29">
        <f t="shared" si="8"/>
        <v>1.0615943013629065E-3</v>
      </c>
      <c r="U45" s="27"/>
      <c r="V45" s="27"/>
      <c r="W45" s="27"/>
      <c r="X45" s="27"/>
      <c r="Y45" s="27"/>
      <c r="Z45" s="27"/>
      <c r="AA45" s="27"/>
      <c r="AB45" s="27"/>
    </row>
    <row r="46" spans="1:28" ht="12.95" customHeight="1" x14ac:dyDescent="0.2">
      <c r="A46" s="7" t="s">
        <v>50</v>
      </c>
      <c r="B46" s="8" t="s">
        <v>39</v>
      </c>
      <c r="C46" s="7">
        <v>55667.3825</v>
      </c>
      <c r="D46" s="7">
        <v>1E-3</v>
      </c>
      <c r="E46" s="27">
        <f t="shared" si="1"/>
        <v>6671.9772084985007</v>
      </c>
      <c r="F46" s="27">
        <f t="shared" si="2"/>
        <v>6672</v>
      </c>
      <c r="G46" s="27">
        <f t="shared" si="3"/>
        <v>-2.0428000003448687E-2</v>
      </c>
      <c r="H46" s="27"/>
      <c r="I46" s="27"/>
      <c r="J46" s="27">
        <f>+G46</f>
        <v>-2.0428000003448687E-2</v>
      </c>
      <c r="K46" s="27"/>
      <c r="L46" s="27"/>
      <c r="M46" s="27"/>
      <c r="N46" s="27"/>
      <c r="O46" s="27">
        <f t="shared" ca="1" si="10"/>
        <v>-2.0220761786011031E-2</v>
      </c>
      <c r="P46" s="35">
        <f t="shared" si="5"/>
        <v>1.1615168059660784E-2</v>
      </c>
      <c r="Q46" s="59">
        <f t="shared" si="6"/>
        <v>40648.8825</v>
      </c>
      <c r="R46" s="29">
        <f t="shared" si="7"/>
        <v>1.0267646195206788E-3</v>
      </c>
      <c r="S46" s="29">
        <v>0.8</v>
      </c>
      <c r="T46" s="29">
        <f t="shared" si="8"/>
        <v>8.2141169561654307E-4</v>
      </c>
      <c r="U46" s="27"/>
      <c r="V46" s="27"/>
      <c r="W46" s="27"/>
      <c r="X46" s="27"/>
      <c r="Y46" s="27"/>
      <c r="Z46" s="27"/>
      <c r="AA46" s="27"/>
      <c r="AB46" s="27"/>
    </row>
    <row r="47" spans="1:28" ht="12.95" customHeight="1" x14ac:dyDescent="0.2">
      <c r="A47" s="64" t="s">
        <v>51</v>
      </c>
      <c r="B47" s="65" t="s">
        <v>39</v>
      </c>
      <c r="C47" s="64">
        <v>55973.918100000003</v>
      </c>
      <c r="D47" s="64">
        <v>2.0000000000000001E-4</v>
      </c>
      <c r="E47" s="27">
        <f t="shared" si="1"/>
        <v>7013.9787057667145</v>
      </c>
      <c r="F47" s="27">
        <f t="shared" si="2"/>
        <v>7014</v>
      </c>
      <c r="G47" s="27">
        <f t="shared" si="3"/>
        <v>-1.9086000000243075E-2</v>
      </c>
      <c r="H47" s="27"/>
      <c r="I47" s="27"/>
      <c r="J47" s="27"/>
      <c r="K47" s="27">
        <f t="shared" ref="K47:K62" si="11">+G47</f>
        <v>-1.9086000000243075E-2</v>
      </c>
      <c r="L47" s="27"/>
      <c r="M47" s="27"/>
      <c r="N47" s="27"/>
      <c r="O47" s="27">
        <f t="shared" ca="1" si="10"/>
        <v>-1.9794619391314119E-2</v>
      </c>
      <c r="P47" s="35">
        <f t="shared" si="5"/>
        <v>1.3519065334962681E-2</v>
      </c>
      <c r="Q47" s="59">
        <f t="shared" si="6"/>
        <v>40955.418100000003</v>
      </c>
      <c r="R47" s="29">
        <f t="shared" si="7"/>
        <v>1.063090285513036E-3</v>
      </c>
      <c r="S47" s="29">
        <v>1</v>
      </c>
      <c r="T47" s="29">
        <f t="shared" si="8"/>
        <v>1.063090285513036E-3</v>
      </c>
      <c r="U47" s="27"/>
      <c r="V47" s="27"/>
      <c r="W47" s="27"/>
      <c r="X47" s="27"/>
      <c r="Y47" s="27"/>
      <c r="Z47" s="27"/>
      <c r="AA47" s="27"/>
      <c r="AB47" s="27"/>
    </row>
    <row r="48" spans="1:28" ht="12.95" customHeight="1" x14ac:dyDescent="0.2">
      <c r="A48" s="64" t="s">
        <v>51</v>
      </c>
      <c r="B48" s="65" t="s">
        <v>39</v>
      </c>
      <c r="C48" s="64">
        <v>55982.880400000002</v>
      </c>
      <c r="D48" s="64">
        <v>2.0000000000000001E-4</v>
      </c>
      <c r="E48" s="27">
        <f t="shared" si="1"/>
        <v>7023.9779359343256</v>
      </c>
      <c r="F48" s="27">
        <f t="shared" si="2"/>
        <v>7024</v>
      </c>
      <c r="G48" s="27">
        <f t="shared" si="3"/>
        <v>-1.9776000001002103E-2</v>
      </c>
      <c r="H48" s="27"/>
      <c r="I48" s="27"/>
      <c r="J48" s="27"/>
      <c r="K48" s="27">
        <f t="shared" si="11"/>
        <v>-1.9776000001002103E-2</v>
      </c>
      <c r="L48" s="27"/>
      <c r="M48" s="27"/>
      <c r="N48" s="27"/>
      <c r="O48" s="27">
        <f t="shared" ca="1" si="10"/>
        <v>-1.9782159087375614E-2</v>
      </c>
      <c r="P48" s="35">
        <f t="shared" si="5"/>
        <v>1.3576772785118792E-2</v>
      </c>
      <c r="Q48" s="59">
        <f t="shared" si="6"/>
        <v>40964.380400000002</v>
      </c>
      <c r="R48" s="29">
        <f t="shared" si="7"/>
        <v>1.1124074525226066E-3</v>
      </c>
      <c r="S48" s="29">
        <v>1</v>
      </c>
      <c r="T48" s="29">
        <f t="shared" si="8"/>
        <v>1.1124074525226066E-3</v>
      </c>
      <c r="U48" s="27"/>
      <c r="V48" s="27"/>
      <c r="W48" s="27"/>
      <c r="X48" s="27"/>
      <c r="Y48" s="27"/>
      <c r="Z48" s="27"/>
      <c r="AA48" s="27"/>
      <c r="AB48" s="27"/>
    </row>
    <row r="49" spans="1:28" ht="12.95" customHeight="1" x14ac:dyDescent="0.2">
      <c r="A49" s="66" t="s">
        <v>52</v>
      </c>
      <c r="B49" s="65"/>
      <c r="C49" s="64">
        <v>56363.805999999997</v>
      </c>
      <c r="D49" s="64">
        <v>1E-3</v>
      </c>
      <c r="E49" s="27">
        <f t="shared" si="1"/>
        <v>7448.9762902781267</v>
      </c>
      <c r="F49" s="27">
        <f t="shared" si="2"/>
        <v>7449</v>
      </c>
      <c r="G49" s="27">
        <f t="shared" si="3"/>
        <v>-2.1251000005577225E-2</v>
      </c>
      <c r="H49" s="27"/>
      <c r="I49" s="27"/>
      <c r="J49" s="27"/>
      <c r="K49" s="27">
        <f t="shared" si="11"/>
        <v>-2.1251000005577225E-2</v>
      </c>
      <c r="L49" s="27"/>
      <c r="M49" s="27"/>
      <c r="N49" s="27"/>
      <c r="O49" s="27">
        <f t="shared" ca="1" si="10"/>
        <v>-1.9252596169989106E-2</v>
      </c>
      <c r="P49" s="35">
        <f t="shared" si="5"/>
        <v>1.613637464582791E-2</v>
      </c>
      <c r="Q49" s="59">
        <f t="shared" si="6"/>
        <v>41345.305999999997</v>
      </c>
      <c r="R49" s="29">
        <f t="shared" si="7"/>
        <v>1.3978157833245315E-3</v>
      </c>
      <c r="S49" s="29">
        <v>0.8</v>
      </c>
      <c r="T49" s="29">
        <f t="shared" si="8"/>
        <v>1.1182526266596252E-3</v>
      </c>
      <c r="U49" s="27"/>
      <c r="V49" s="27"/>
      <c r="W49" s="27"/>
      <c r="X49" s="27"/>
      <c r="Y49" s="27"/>
      <c r="Z49" s="27"/>
      <c r="AA49" s="27"/>
      <c r="AB49" s="27"/>
    </row>
    <row r="50" spans="1:28" ht="12.95" customHeight="1" x14ac:dyDescent="0.2">
      <c r="A50" s="67" t="s">
        <v>58</v>
      </c>
      <c r="B50" s="65" t="s">
        <v>39</v>
      </c>
      <c r="C50" s="68">
        <v>57021.692000000003</v>
      </c>
      <c r="D50" s="68">
        <v>8.9999999999999993E-3</v>
      </c>
      <c r="E50" s="27">
        <f t="shared" si="1"/>
        <v>8182.9791174596885</v>
      </c>
      <c r="F50" s="27">
        <f t="shared" si="2"/>
        <v>8183</v>
      </c>
      <c r="G50" s="27">
        <f t="shared" si="3"/>
        <v>-1.8716999999014661E-2</v>
      </c>
      <c r="H50" s="27"/>
      <c r="I50" s="27"/>
      <c r="J50" s="27"/>
      <c r="K50" s="27">
        <f t="shared" si="11"/>
        <v>-1.8716999999014661E-2</v>
      </c>
      <c r="L50" s="27"/>
      <c r="M50" s="27"/>
      <c r="N50" s="27"/>
      <c r="O50" s="27">
        <f t="shared" ca="1" si="10"/>
        <v>-1.8338009860902758E-2</v>
      </c>
      <c r="P50" s="35">
        <f t="shared" si="5"/>
        <v>2.1049482365588137E-2</v>
      </c>
      <c r="Q50" s="59">
        <f t="shared" si="6"/>
        <v>42003.192000000003</v>
      </c>
      <c r="R50" s="29">
        <f t="shared" si="7"/>
        <v>1.5813731196542653E-3</v>
      </c>
      <c r="S50" s="29">
        <v>1</v>
      </c>
      <c r="T50" s="29">
        <f t="shared" si="8"/>
        <v>1.5813731196542653E-3</v>
      </c>
      <c r="U50" s="27"/>
      <c r="V50" s="27"/>
      <c r="W50" s="27"/>
      <c r="X50" s="27"/>
      <c r="Y50" s="27"/>
      <c r="Z50" s="27"/>
      <c r="AA50" s="27"/>
      <c r="AB50" s="27"/>
    </row>
    <row r="51" spans="1:28" ht="12.95" customHeight="1" x14ac:dyDescent="0.2">
      <c r="A51" s="66" t="s">
        <v>171</v>
      </c>
      <c r="B51" s="65"/>
      <c r="C51" s="64">
        <v>57084.881300000001</v>
      </c>
      <c r="D51" s="64">
        <v>2.9999999999999997E-4</v>
      </c>
      <c r="E51" s="27">
        <f t="shared" si="1"/>
        <v>8253.4793634713405</v>
      </c>
      <c r="F51" s="27">
        <f t="shared" si="2"/>
        <v>8253.5</v>
      </c>
      <c r="G51" s="27">
        <f t="shared" si="3"/>
        <v>-1.8496500000765081E-2</v>
      </c>
      <c r="H51" s="27"/>
      <c r="I51" s="27"/>
      <c r="J51" s="27"/>
      <c r="K51" s="27">
        <f t="shared" si="11"/>
        <v>-1.8496500000765081E-2</v>
      </c>
      <c r="L51" s="27"/>
      <c r="M51" s="27"/>
      <c r="N51" s="27"/>
      <c r="O51" s="27">
        <f t="shared" ca="1" si="10"/>
        <v>-1.8250164718136293E-2</v>
      </c>
      <c r="P51" s="35">
        <f t="shared" si="5"/>
        <v>2.1554218695322036E-2</v>
      </c>
      <c r="Q51" s="59">
        <f t="shared" si="6"/>
        <v>42066.381300000001</v>
      </c>
      <c r="R51" s="29">
        <f t="shared" si="7"/>
        <v>1.6040600680731021E-3</v>
      </c>
      <c r="S51" s="29">
        <v>1</v>
      </c>
      <c r="T51" s="29">
        <f t="shared" si="8"/>
        <v>1.6040600680731021E-3</v>
      </c>
      <c r="U51" s="27"/>
      <c r="V51" s="27"/>
      <c r="W51" s="27"/>
      <c r="X51" s="27"/>
      <c r="Y51" s="27"/>
      <c r="Z51" s="27"/>
      <c r="AA51" s="27"/>
      <c r="AB51" s="27"/>
    </row>
    <row r="52" spans="1:28" ht="12.95" customHeight="1" x14ac:dyDescent="0.2">
      <c r="A52" s="22" t="s">
        <v>172</v>
      </c>
      <c r="B52" s="23" t="s">
        <v>39</v>
      </c>
      <c r="C52" s="22">
        <v>57126.559099999999</v>
      </c>
      <c r="D52" s="22">
        <v>1E-4</v>
      </c>
      <c r="E52" s="27">
        <f t="shared" si="1"/>
        <v>8299.9792479964799</v>
      </c>
      <c r="F52" s="27">
        <f t="shared" si="2"/>
        <v>8300</v>
      </c>
      <c r="G52" s="27">
        <f t="shared" si="3"/>
        <v>-1.8600000003061723E-2</v>
      </c>
      <c r="H52" s="27"/>
      <c r="I52" s="27"/>
      <c r="J52" s="27"/>
      <c r="K52" s="27">
        <f t="shared" si="11"/>
        <v>-1.8600000003061723E-2</v>
      </c>
      <c r="L52" s="27"/>
      <c r="M52" s="27"/>
      <c r="N52" s="27"/>
      <c r="O52" s="27">
        <f t="shared" ca="1" si="10"/>
        <v>-1.8192224304822237E-2</v>
      </c>
      <c r="P52" s="35">
        <f t="shared" si="5"/>
        <v>2.1890279723382259E-2</v>
      </c>
      <c r="Q52" s="59">
        <f t="shared" si="6"/>
        <v>42108.059099999999</v>
      </c>
      <c r="R52" s="29">
        <f t="shared" si="7"/>
        <v>1.6394627523256802E-3</v>
      </c>
      <c r="S52" s="29">
        <v>1</v>
      </c>
      <c r="T52" s="29">
        <f t="shared" si="8"/>
        <v>1.6394627523256802E-3</v>
      </c>
      <c r="U52" s="27"/>
      <c r="V52" s="27"/>
      <c r="W52" s="27"/>
      <c r="X52" s="27"/>
      <c r="Y52" s="27"/>
      <c r="Z52" s="27"/>
      <c r="AA52" s="27"/>
      <c r="AB52" s="27"/>
    </row>
    <row r="53" spans="1:28" ht="12.95" customHeight="1" x14ac:dyDescent="0.2">
      <c r="A53" s="69" t="s">
        <v>2</v>
      </c>
      <c r="B53" s="70" t="s">
        <v>39</v>
      </c>
      <c r="C53" s="71">
        <v>57464.465700000001</v>
      </c>
      <c r="D53" s="71">
        <v>2.2000000000000001E-3</v>
      </c>
      <c r="E53" s="27">
        <f t="shared" si="1"/>
        <v>8676.9813421637191</v>
      </c>
      <c r="F53" s="27">
        <f t="shared" si="2"/>
        <v>8677</v>
      </c>
      <c r="G53" s="27">
        <f t="shared" si="3"/>
        <v>-1.6723000000638422E-2</v>
      </c>
      <c r="H53" s="27"/>
      <c r="I53" s="27"/>
      <c r="J53" s="27"/>
      <c r="K53" s="27">
        <f t="shared" si="11"/>
        <v>-1.6723000000638422E-2</v>
      </c>
      <c r="L53" s="27"/>
      <c r="M53" s="27"/>
      <c r="N53" s="27"/>
      <c r="O53" s="27">
        <f t="shared" ca="1" si="10"/>
        <v>-1.7722470846340557E-2</v>
      </c>
      <c r="P53" s="35">
        <f t="shared" si="5"/>
        <v>2.4707340005599647E-2</v>
      </c>
      <c r="Q53" s="59">
        <f t="shared" si="6"/>
        <v>42445.965700000001</v>
      </c>
      <c r="R53" s="29">
        <f t="shared" si="7"/>
        <v>1.7164730730324907E-3</v>
      </c>
      <c r="S53" s="29">
        <v>1</v>
      </c>
      <c r="T53" s="29">
        <f t="shared" si="8"/>
        <v>1.7164730730324907E-3</v>
      </c>
      <c r="U53" s="27"/>
      <c r="V53" s="27"/>
      <c r="W53" s="27"/>
      <c r="X53" s="27"/>
      <c r="Y53" s="27"/>
      <c r="Z53" s="27"/>
      <c r="AA53" s="27"/>
      <c r="AB53" s="27"/>
    </row>
    <row r="54" spans="1:28" ht="12.95" customHeight="1" x14ac:dyDescent="0.2">
      <c r="A54" s="72" t="s">
        <v>173</v>
      </c>
      <c r="B54" s="23" t="s">
        <v>39</v>
      </c>
      <c r="C54" s="73">
        <v>57830.1564</v>
      </c>
      <c r="D54" s="22" t="s">
        <v>174</v>
      </c>
      <c r="E54" s="27">
        <f t="shared" si="1"/>
        <v>9084.9821320786905</v>
      </c>
      <c r="F54" s="27">
        <f t="shared" si="2"/>
        <v>9085</v>
      </c>
      <c r="G54" s="27">
        <f t="shared" si="3"/>
        <v>-1.6015000001061708E-2</v>
      </c>
      <c r="H54" s="27"/>
      <c r="I54" s="27"/>
      <c r="J54" s="27"/>
      <c r="K54" s="27">
        <f t="shared" si="11"/>
        <v>-1.6015000001061708E-2</v>
      </c>
      <c r="L54" s="27"/>
      <c r="M54" s="27"/>
      <c r="N54" s="27"/>
      <c r="O54" s="27">
        <f t="shared" ca="1" si="10"/>
        <v>-1.7214090445649508E-2</v>
      </c>
      <c r="P54" s="35">
        <f t="shared" si="5"/>
        <v>2.7941471156681035E-2</v>
      </c>
      <c r="Q54" s="59">
        <f t="shared" si="6"/>
        <v>42811.6564</v>
      </c>
      <c r="R54" s="29">
        <f t="shared" si="7"/>
        <v>1.9321713566414699E-3</v>
      </c>
      <c r="S54" s="29">
        <v>1</v>
      </c>
      <c r="T54" s="29">
        <f t="shared" si="8"/>
        <v>1.9321713566414699E-3</v>
      </c>
      <c r="U54" s="27"/>
      <c r="V54" s="27"/>
      <c r="W54" s="27"/>
      <c r="X54" s="27"/>
      <c r="Y54" s="27"/>
      <c r="Z54" s="27"/>
      <c r="AA54" s="27"/>
      <c r="AB54" s="27"/>
    </row>
    <row r="55" spans="1:28" ht="12.95" customHeight="1" x14ac:dyDescent="0.2">
      <c r="A55" s="74" t="s">
        <v>1</v>
      </c>
      <c r="B55" s="86" t="s">
        <v>39</v>
      </c>
      <c r="C55" s="75">
        <v>57836.429799999998</v>
      </c>
      <c r="D55" s="75">
        <v>2E-3</v>
      </c>
      <c r="E55" s="27">
        <f t="shared" si="1"/>
        <v>9091.981358899202</v>
      </c>
      <c r="F55" s="27">
        <f t="shared" si="2"/>
        <v>9092</v>
      </c>
      <c r="G55" s="27">
        <f t="shared" si="3"/>
        <v>-1.6708000002836343E-2</v>
      </c>
      <c r="H55" s="27"/>
      <c r="I55" s="27"/>
      <c r="J55" s="27"/>
      <c r="K55" s="27">
        <f t="shared" si="11"/>
        <v>-1.6708000002836343E-2</v>
      </c>
      <c r="L55" s="27"/>
      <c r="M55" s="27"/>
      <c r="N55" s="27"/>
      <c r="O55" s="27">
        <f t="shared" ca="1" si="10"/>
        <v>-1.7205368232892555E-2</v>
      </c>
      <c r="P55" s="35">
        <f t="shared" si="5"/>
        <v>2.7998640579725235E-2</v>
      </c>
      <c r="Q55" s="59">
        <f t="shared" si="6"/>
        <v>42817.929799999998</v>
      </c>
      <c r="R55" s="29">
        <f t="shared" si="7"/>
        <v>1.9986837121783417E-3</v>
      </c>
      <c r="S55" s="29">
        <v>0.4</v>
      </c>
      <c r="T55" s="29">
        <f t="shared" si="8"/>
        <v>7.9947348487133675E-4</v>
      </c>
      <c r="U55" s="27"/>
      <c r="V55" s="27"/>
      <c r="W55" s="27"/>
      <c r="X55" s="27"/>
      <c r="Y55" s="27"/>
      <c r="Z55" s="27"/>
      <c r="AA55" s="27"/>
      <c r="AB55" s="27"/>
    </row>
    <row r="56" spans="1:28" ht="12.95" customHeight="1" x14ac:dyDescent="0.2">
      <c r="A56" s="77" t="s">
        <v>175</v>
      </c>
      <c r="B56" s="78" t="s">
        <v>43</v>
      </c>
      <c r="C56" s="79">
        <v>57840.464819999877</v>
      </c>
      <c r="D56" s="79">
        <v>2.9999999999999997E-4</v>
      </c>
      <c r="E56" s="27">
        <f t="shared" si="1"/>
        <v>9096.4832271372343</v>
      </c>
      <c r="F56" s="27">
        <f t="shared" si="2"/>
        <v>9096.5</v>
      </c>
      <c r="G56" s="27">
        <f t="shared" si="3"/>
        <v>-1.5033500123536214E-2</v>
      </c>
      <c r="H56" s="27"/>
      <c r="I56" s="27"/>
      <c r="J56" s="27"/>
      <c r="K56" s="27">
        <f t="shared" si="11"/>
        <v>-1.5033500123536214E-2</v>
      </c>
      <c r="L56" s="27"/>
      <c r="M56" s="27"/>
      <c r="N56" s="27"/>
      <c r="O56" s="27">
        <f t="shared" ca="1" si="10"/>
        <v>-1.7199761096120227E-2</v>
      </c>
      <c r="P56" s="35">
        <f t="shared" si="5"/>
        <v>2.8035422312861966E-2</v>
      </c>
      <c r="Q56" s="59">
        <f t="shared" si="6"/>
        <v>42821.964819999877</v>
      </c>
      <c r="R56" s="29">
        <f t="shared" si="7"/>
        <v>1.8549320798324823E-3</v>
      </c>
      <c r="S56" s="29">
        <v>1</v>
      </c>
      <c r="T56" s="29">
        <f t="shared" si="8"/>
        <v>1.8549320798324823E-3</v>
      </c>
      <c r="U56" s="27"/>
      <c r="V56" s="27"/>
      <c r="W56" s="27"/>
      <c r="X56" s="27"/>
      <c r="Y56" s="27"/>
      <c r="Z56" s="27"/>
      <c r="AA56" s="27"/>
      <c r="AB56" s="27"/>
    </row>
    <row r="57" spans="1:28" ht="12.95" customHeight="1" x14ac:dyDescent="0.2">
      <c r="A57" s="74" t="s">
        <v>0</v>
      </c>
      <c r="B57" s="76" t="s">
        <v>39</v>
      </c>
      <c r="C57" s="74">
        <v>58203.016100000124</v>
      </c>
      <c r="D57" s="74" t="s">
        <v>14</v>
      </c>
      <c r="E57" s="27">
        <f t="shared" si="1"/>
        <v>9500.9813689406365</v>
      </c>
      <c r="F57" s="27">
        <f t="shared" si="2"/>
        <v>9501</v>
      </c>
      <c r="G57" s="27">
        <f t="shared" si="3"/>
        <v>-1.6698999876098242E-2</v>
      </c>
      <c r="H57" s="27"/>
      <c r="I57" s="27"/>
      <c r="J57" s="27"/>
      <c r="K57" s="27">
        <f t="shared" si="11"/>
        <v>-1.6698999876098242E-2</v>
      </c>
      <c r="L57" s="27"/>
      <c r="M57" s="27"/>
      <c r="N57" s="27"/>
      <c r="O57" s="27">
        <f t="shared" ca="1" si="10"/>
        <v>-1.6695741801807655E-2</v>
      </c>
      <c r="P57" s="35">
        <f t="shared" si="5"/>
        <v>3.1437474866981702E-2</v>
      </c>
      <c r="Q57" s="59">
        <f t="shared" si="6"/>
        <v>43184.516100000124</v>
      </c>
      <c r="R57" s="29">
        <f t="shared" si="7"/>
        <v>2.3171202006911731E-3</v>
      </c>
      <c r="S57" s="29">
        <v>1</v>
      </c>
      <c r="T57" s="29">
        <f t="shared" si="8"/>
        <v>2.3171202006911731E-3</v>
      </c>
      <c r="U57" s="27"/>
      <c r="V57" s="27"/>
      <c r="W57" s="27"/>
      <c r="X57" s="27"/>
      <c r="Y57" s="27"/>
      <c r="Z57" s="27"/>
      <c r="AA57" s="27"/>
      <c r="AB57" s="27"/>
    </row>
    <row r="58" spans="1:28" ht="12.95" customHeight="1" x14ac:dyDescent="0.2">
      <c r="A58" s="24" t="s">
        <v>179</v>
      </c>
      <c r="B58" s="25" t="s">
        <v>43</v>
      </c>
      <c r="C58" s="84">
        <v>59234.21041</v>
      </c>
      <c r="D58" s="84">
        <v>2.0000000000000001E-4</v>
      </c>
      <c r="E58" s="27">
        <f t="shared" si="1"/>
        <v>10651.483946763299</v>
      </c>
      <c r="F58" s="27">
        <f t="shared" si="2"/>
        <v>10651.5</v>
      </c>
      <c r="G58" s="27">
        <f t="shared" si="3"/>
        <v>-1.4388499999768101E-2</v>
      </c>
      <c r="H58" s="27"/>
      <c r="I58" s="27"/>
      <c r="J58" s="27"/>
      <c r="K58" s="27">
        <f t="shared" si="11"/>
        <v>-1.4388499999768101E-2</v>
      </c>
      <c r="L58" s="27"/>
      <c r="M58" s="27"/>
      <c r="N58" s="27"/>
      <c r="O58" s="27">
        <f t="shared" ca="1" si="10"/>
        <v>-1.526218383368253E-2</v>
      </c>
      <c r="P58" s="35">
        <f t="shared" si="5"/>
        <v>4.214954555567757E-2</v>
      </c>
      <c r="Q58" s="59">
        <f t="shared" si="6"/>
        <v>44215.71041</v>
      </c>
      <c r="R58" s="29">
        <f t="shared" si="7"/>
        <v>3.1965505952296501E-3</v>
      </c>
      <c r="S58" s="29">
        <v>1</v>
      </c>
      <c r="T58" s="29">
        <f t="shared" si="8"/>
        <v>3.1965505952296501E-3</v>
      </c>
      <c r="U58" s="27"/>
      <c r="V58" s="27"/>
      <c r="W58" s="27"/>
      <c r="X58" s="27"/>
      <c r="Y58" s="27"/>
      <c r="Z58" s="27"/>
      <c r="AA58" s="27"/>
      <c r="AB58" s="27"/>
    </row>
    <row r="59" spans="1:28" ht="12.95" customHeight="1" x14ac:dyDescent="0.2">
      <c r="A59" s="24" t="s">
        <v>176</v>
      </c>
      <c r="B59" s="25" t="s">
        <v>39</v>
      </c>
      <c r="C59" s="85">
        <v>59304.566700000003</v>
      </c>
      <c r="D59" s="84">
        <v>5.0000000000000001E-4</v>
      </c>
      <c r="E59" s="27">
        <f t="shared" si="1"/>
        <v>10729.980397166571</v>
      </c>
      <c r="F59" s="27">
        <f t="shared" si="2"/>
        <v>10730</v>
      </c>
      <c r="G59" s="27">
        <f t="shared" si="3"/>
        <v>-1.7569999996339902E-2</v>
      </c>
      <c r="H59" s="27"/>
      <c r="I59" s="27"/>
      <c r="J59" s="27"/>
      <c r="K59" s="27">
        <f t="shared" si="11"/>
        <v>-1.7569999996339902E-2</v>
      </c>
      <c r="L59" s="27"/>
      <c r="M59" s="27"/>
      <c r="N59" s="27"/>
      <c r="O59" s="27">
        <f t="shared" ca="1" si="10"/>
        <v>-1.5164370447765257E-2</v>
      </c>
      <c r="P59" s="35">
        <f t="shared" si="5"/>
        <v>4.2936299068176531E-2</v>
      </c>
      <c r="Q59" s="59">
        <f t="shared" si="6"/>
        <v>44286.066700000003</v>
      </c>
      <c r="R59" s="29">
        <f t="shared" si="7"/>
        <v>3.661012226484702E-3</v>
      </c>
      <c r="S59" s="29">
        <v>1</v>
      </c>
      <c r="T59" s="29">
        <f t="shared" si="8"/>
        <v>3.661012226484702E-3</v>
      </c>
      <c r="U59" s="27"/>
      <c r="V59" s="27"/>
      <c r="W59" s="27"/>
      <c r="X59" s="27"/>
      <c r="Y59" s="27"/>
      <c r="Z59" s="27"/>
      <c r="AA59" s="27"/>
      <c r="AB59" s="27"/>
    </row>
    <row r="60" spans="1:28" ht="12.95" customHeight="1" x14ac:dyDescent="0.2">
      <c r="A60" s="24" t="s">
        <v>176</v>
      </c>
      <c r="B60" s="25" t="s">
        <v>39</v>
      </c>
      <c r="C60" s="85">
        <v>59305.463499999998</v>
      </c>
      <c r="D60" s="84">
        <v>1.8E-3</v>
      </c>
      <c r="E60" s="27">
        <f t="shared" si="1"/>
        <v>10730.980956131823</v>
      </c>
      <c r="F60" s="27">
        <f t="shared" si="2"/>
        <v>10731</v>
      </c>
      <c r="G60" s="27">
        <f t="shared" si="3"/>
        <v>-1.7069000001356471E-2</v>
      </c>
      <c r="H60" s="27"/>
      <c r="I60" s="27"/>
      <c r="J60" s="27"/>
      <c r="K60" s="27">
        <f t="shared" si="11"/>
        <v>-1.7069000001356471E-2</v>
      </c>
      <c r="L60" s="27"/>
      <c r="M60" s="27"/>
      <c r="N60" s="27"/>
      <c r="O60" s="27">
        <f t="shared" ca="1" si="10"/>
        <v>-1.5163124417371407E-2</v>
      </c>
      <c r="P60" s="35">
        <f t="shared" si="5"/>
        <v>4.2946367433234961E-2</v>
      </c>
      <c r="Q60" s="59">
        <f t="shared" si="6"/>
        <v>44286.963499999998</v>
      </c>
      <c r="R60" s="29">
        <f t="shared" si="7"/>
        <v>3.6018443283090179E-3</v>
      </c>
      <c r="S60" s="29">
        <v>1</v>
      </c>
      <c r="T60" s="29">
        <f t="shared" si="8"/>
        <v>3.6018443283090179E-3</v>
      </c>
      <c r="U60" s="27"/>
      <c r="V60" s="27"/>
      <c r="W60" s="27"/>
      <c r="X60" s="27"/>
      <c r="Y60" s="27"/>
      <c r="Z60" s="27"/>
      <c r="AA60" s="27"/>
      <c r="AB60" s="27"/>
    </row>
    <row r="61" spans="1:28" ht="12.95" customHeight="1" x14ac:dyDescent="0.2">
      <c r="A61" s="26" t="s">
        <v>177</v>
      </c>
      <c r="B61" s="80" t="s">
        <v>39</v>
      </c>
      <c r="C61" s="81">
        <v>59647.8514</v>
      </c>
      <c r="D61" s="81">
        <v>1E-4</v>
      </c>
      <c r="E61" s="27">
        <f t="shared" si="1"/>
        <v>11112.982832737734</v>
      </c>
      <c r="F61" s="27">
        <f t="shared" si="2"/>
        <v>11113</v>
      </c>
      <c r="G61" s="27">
        <f t="shared" si="3"/>
        <v>-1.5386999999464024E-2</v>
      </c>
      <c r="H61" s="27"/>
      <c r="I61" s="27"/>
      <c r="J61" s="27"/>
      <c r="K61" s="27">
        <f t="shared" si="11"/>
        <v>-1.5386999999464024E-2</v>
      </c>
      <c r="L61" s="27"/>
      <c r="M61" s="27"/>
      <c r="N61" s="27"/>
      <c r="O61" s="27">
        <f t="shared" ca="1" si="10"/>
        <v>-1.4687140806920474E-2</v>
      </c>
      <c r="P61" s="35">
        <f t="shared" si="5"/>
        <v>4.6877188206587275E-2</v>
      </c>
      <c r="Q61" s="59">
        <f t="shared" si="6"/>
        <v>44629.3514</v>
      </c>
      <c r="R61" s="29">
        <f t="shared" si="7"/>
        <v>3.8768291329585778E-3</v>
      </c>
      <c r="S61" s="29">
        <v>1</v>
      </c>
      <c r="T61" s="29">
        <f t="shared" si="8"/>
        <v>3.8768291329585778E-3</v>
      </c>
      <c r="U61" s="27"/>
      <c r="V61" s="27"/>
      <c r="W61" s="27"/>
      <c r="X61" s="27"/>
      <c r="Y61" s="27"/>
      <c r="Z61" s="27"/>
      <c r="AA61" s="27"/>
      <c r="AB61" s="27"/>
    </row>
    <row r="62" spans="1:28" ht="12.95" customHeight="1" x14ac:dyDescent="0.2">
      <c r="A62" s="82" t="s">
        <v>178</v>
      </c>
      <c r="B62" s="83" t="s">
        <v>39</v>
      </c>
      <c r="C62" s="84">
        <v>60002.788800000002</v>
      </c>
      <c r="D62" s="84">
        <v>2.9999999999999997E-4</v>
      </c>
      <c r="E62" s="27">
        <f t="shared" si="1"/>
        <v>11508.986175372282</v>
      </c>
      <c r="F62" s="27">
        <f t="shared" si="2"/>
        <v>11509</v>
      </c>
      <c r="G62" s="27">
        <f t="shared" si="3"/>
        <v>-1.2391000003844965E-2</v>
      </c>
      <c r="H62" s="27"/>
      <c r="I62" s="27"/>
      <c r="J62" s="27"/>
      <c r="K62" s="27">
        <f t="shared" si="11"/>
        <v>-1.2391000003844965E-2</v>
      </c>
      <c r="L62" s="27"/>
      <c r="M62" s="27"/>
      <c r="N62" s="27"/>
      <c r="O62" s="27">
        <f t="shared" ca="1" si="10"/>
        <v>-1.4193712770955632E-2</v>
      </c>
      <c r="P62" s="35">
        <f t="shared" si="5"/>
        <v>5.1130441101188244E-2</v>
      </c>
      <c r="Q62" s="59">
        <f t="shared" si="6"/>
        <v>44984.288800000002</v>
      </c>
      <c r="R62" s="29">
        <f t="shared" si="7"/>
        <v>4.0349734800602033E-3</v>
      </c>
      <c r="S62" s="29">
        <v>1</v>
      </c>
      <c r="T62" s="29">
        <f t="shared" si="8"/>
        <v>4.0349734800602033E-3</v>
      </c>
      <c r="U62" s="27"/>
      <c r="V62" s="27"/>
      <c r="W62" s="27"/>
      <c r="X62" s="27"/>
      <c r="Y62" s="27"/>
      <c r="Z62" s="27"/>
      <c r="AA62" s="27"/>
      <c r="AB62" s="27"/>
    </row>
    <row r="63" spans="1:28" ht="12.95" customHeight="1" x14ac:dyDescent="0.2">
      <c r="A63" s="27"/>
      <c r="B63" s="28"/>
      <c r="C63" s="57"/>
      <c r="D63" s="5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2.95" customHeight="1" x14ac:dyDescent="0.2">
      <c r="A64" s="27"/>
      <c r="B64" s="28"/>
      <c r="C64" s="57"/>
      <c r="D64" s="5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2.95" customHeight="1" x14ac:dyDescent="0.2">
      <c r="A65" s="27"/>
      <c r="B65" s="28"/>
      <c r="C65" s="57"/>
      <c r="D65" s="5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2.95" customHeight="1" x14ac:dyDescent="0.2">
      <c r="A66" s="27"/>
      <c r="B66" s="28"/>
      <c r="C66" s="57"/>
      <c r="D66" s="5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2.95" customHeight="1" x14ac:dyDescent="0.2">
      <c r="A67" s="27"/>
      <c r="B67" s="28"/>
      <c r="C67" s="57"/>
      <c r="D67" s="5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2.95" customHeight="1" x14ac:dyDescent="0.2">
      <c r="A68" s="27"/>
      <c r="B68" s="28"/>
      <c r="C68" s="57"/>
      <c r="D68" s="5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2.95" customHeight="1" x14ac:dyDescent="0.2">
      <c r="A69" s="27"/>
      <c r="B69" s="28"/>
      <c r="C69" s="57"/>
      <c r="D69" s="5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2.95" customHeight="1" x14ac:dyDescent="0.2">
      <c r="A70" s="27"/>
      <c r="B70" s="28"/>
      <c r="C70" s="57"/>
      <c r="D70" s="5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2.95" customHeight="1" x14ac:dyDescent="0.2">
      <c r="A71" s="27"/>
      <c r="B71" s="28"/>
      <c r="C71" s="57"/>
      <c r="D71" s="5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2.95" customHeight="1" x14ac:dyDescent="0.2">
      <c r="A72" s="27"/>
      <c r="B72" s="28"/>
      <c r="C72" s="57"/>
      <c r="D72" s="5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2.95" customHeight="1" x14ac:dyDescent="0.2">
      <c r="A73" s="27"/>
      <c r="B73" s="27"/>
      <c r="C73" s="57"/>
      <c r="D73" s="5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2.95" customHeight="1" x14ac:dyDescent="0.2">
      <c r="A74" s="27"/>
      <c r="B74" s="27"/>
      <c r="C74" s="57"/>
      <c r="D74" s="5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2.95" customHeight="1" x14ac:dyDescent="0.2">
      <c r="A75" s="27"/>
      <c r="B75" s="27"/>
      <c r="C75" s="57"/>
      <c r="D75" s="5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2.95" customHeight="1" x14ac:dyDescent="0.2">
      <c r="A76" s="27"/>
      <c r="B76" s="27"/>
      <c r="C76" s="57"/>
      <c r="D76" s="5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2.95" customHeight="1" x14ac:dyDescent="0.2">
      <c r="A77" s="27"/>
      <c r="B77" s="27"/>
      <c r="C77" s="57"/>
      <c r="D77" s="5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2.95" customHeight="1" x14ac:dyDescent="0.2">
      <c r="A78" s="27"/>
      <c r="B78" s="27"/>
      <c r="C78" s="57"/>
      <c r="D78" s="5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2.95" customHeight="1" x14ac:dyDescent="0.2">
      <c r="A79" s="27"/>
      <c r="B79" s="27"/>
      <c r="C79" s="57"/>
      <c r="D79" s="5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2.95" customHeight="1" x14ac:dyDescent="0.2">
      <c r="A80" s="27"/>
      <c r="B80" s="27"/>
      <c r="C80" s="57"/>
      <c r="D80" s="5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2.95" customHeight="1" x14ac:dyDescent="0.2">
      <c r="A81" s="27"/>
      <c r="B81" s="27"/>
      <c r="C81" s="57"/>
      <c r="D81" s="5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2.95" customHeight="1" x14ac:dyDescent="0.2">
      <c r="A82" s="27"/>
      <c r="B82" s="27"/>
      <c r="C82" s="57"/>
      <c r="D82" s="5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2.95" customHeight="1" x14ac:dyDescent="0.2">
      <c r="A83" s="27"/>
      <c r="B83" s="27"/>
      <c r="C83" s="57"/>
      <c r="D83" s="5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2.95" customHeight="1" x14ac:dyDescent="0.2">
      <c r="A84" s="27"/>
      <c r="B84" s="27"/>
      <c r="C84" s="57"/>
      <c r="D84" s="5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2.95" customHeight="1" x14ac:dyDescent="0.2">
      <c r="A85" s="27"/>
      <c r="B85" s="27"/>
      <c r="C85" s="57"/>
      <c r="D85" s="5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2.95" customHeight="1" x14ac:dyDescent="0.2">
      <c r="A86" s="27"/>
      <c r="B86" s="27"/>
      <c r="C86" s="57"/>
      <c r="D86" s="5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2.95" customHeight="1" x14ac:dyDescent="0.2">
      <c r="A87" s="27"/>
      <c r="B87" s="27"/>
      <c r="C87" s="57"/>
      <c r="D87" s="5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2.95" customHeight="1" x14ac:dyDescent="0.2">
      <c r="A88" s="27"/>
      <c r="B88" s="27"/>
      <c r="C88" s="57"/>
      <c r="D88" s="5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2.95" customHeight="1" x14ac:dyDescent="0.2">
      <c r="A89" s="27"/>
      <c r="B89" s="27"/>
      <c r="C89" s="57"/>
      <c r="D89" s="5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2.95" customHeight="1" x14ac:dyDescent="0.2">
      <c r="A90" s="27"/>
      <c r="B90" s="27"/>
      <c r="C90" s="57"/>
      <c r="D90" s="5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2.95" customHeight="1" x14ac:dyDescent="0.2">
      <c r="A91" s="27"/>
      <c r="B91" s="27"/>
      <c r="C91" s="57"/>
      <c r="D91" s="5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2.95" customHeight="1" x14ac:dyDescent="0.2">
      <c r="A92" s="27"/>
      <c r="B92" s="27"/>
      <c r="C92" s="57"/>
      <c r="D92" s="5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2.95" customHeight="1" x14ac:dyDescent="0.2">
      <c r="A93" s="27"/>
      <c r="B93" s="27"/>
      <c r="C93" s="57"/>
      <c r="D93" s="5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2.95" customHeight="1" x14ac:dyDescent="0.2">
      <c r="A94" s="27"/>
      <c r="B94" s="27"/>
      <c r="C94" s="57"/>
      <c r="D94" s="5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2.95" customHeight="1" x14ac:dyDescent="0.2">
      <c r="A95" s="27"/>
      <c r="B95" s="27"/>
      <c r="C95" s="57"/>
      <c r="D95" s="5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2.95" customHeight="1" x14ac:dyDescent="0.2">
      <c r="A96" s="27"/>
      <c r="B96" s="27"/>
      <c r="C96" s="57"/>
      <c r="D96" s="5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2.95" customHeight="1" x14ac:dyDescent="0.2">
      <c r="A97" s="27"/>
      <c r="B97" s="27"/>
      <c r="C97" s="57"/>
      <c r="D97" s="5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2.95" customHeight="1" x14ac:dyDescent="0.2">
      <c r="A98" s="27"/>
      <c r="B98" s="27"/>
      <c r="C98" s="57"/>
      <c r="D98" s="5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2.95" customHeight="1" x14ac:dyDescent="0.2">
      <c r="A99" s="27"/>
      <c r="B99" s="27"/>
      <c r="C99" s="57"/>
      <c r="D99" s="5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2.95" customHeight="1" x14ac:dyDescent="0.2">
      <c r="A100" s="27"/>
      <c r="B100" s="27"/>
      <c r="C100" s="57"/>
      <c r="D100" s="5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2.95" customHeight="1" x14ac:dyDescent="0.2">
      <c r="A101" s="27"/>
      <c r="B101" s="27"/>
      <c r="C101" s="57"/>
      <c r="D101" s="5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2.95" customHeight="1" x14ac:dyDescent="0.2">
      <c r="A102" s="27"/>
      <c r="B102" s="27"/>
      <c r="C102" s="57"/>
      <c r="D102" s="5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2.95" customHeight="1" x14ac:dyDescent="0.2">
      <c r="A103" s="27"/>
      <c r="B103" s="27"/>
      <c r="C103" s="57"/>
      <c r="D103" s="5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2.95" customHeight="1" x14ac:dyDescent="0.2">
      <c r="A104" s="27"/>
      <c r="B104" s="27"/>
      <c r="C104" s="57"/>
      <c r="D104" s="5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2.95" customHeight="1" x14ac:dyDescent="0.2">
      <c r="A105" s="27"/>
      <c r="B105" s="27"/>
      <c r="C105" s="57"/>
      <c r="D105" s="5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2.95" customHeight="1" x14ac:dyDescent="0.2">
      <c r="A106" s="27"/>
      <c r="B106" s="27"/>
      <c r="C106" s="57"/>
      <c r="D106" s="5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2.95" customHeight="1" x14ac:dyDescent="0.2">
      <c r="A107" s="27"/>
      <c r="B107" s="27"/>
      <c r="C107" s="57"/>
      <c r="D107" s="5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2.95" customHeight="1" x14ac:dyDescent="0.2">
      <c r="A108" s="27"/>
      <c r="B108" s="27"/>
      <c r="C108" s="57"/>
      <c r="D108" s="5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2.95" customHeight="1" x14ac:dyDescent="0.2">
      <c r="A109" s="27"/>
      <c r="B109" s="27"/>
      <c r="C109" s="57"/>
      <c r="D109" s="5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2.95" customHeight="1" x14ac:dyDescent="0.2">
      <c r="A110" s="27"/>
      <c r="B110" s="27"/>
      <c r="C110" s="57"/>
      <c r="D110" s="5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2.95" customHeight="1" x14ac:dyDescent="0.2">
      <c r="A111" s="27"/>
      <c r="B111" s="27"/>
      <c r="C111" s="57"/>
      <c r="D111" s="5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2.95" customHeight="1" x14ac:dyDescent="0.2">
      <c r="A112" s="27"/>
      <c r="B112" s="27"/>
      <c r="C112" s="57"/>
      <c r="D112" s="5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2.95" customHeight="1" x14ac:dyDescent="0.2">
      <c r="A113" s="27"/>
      <c r="B113" s="27"/>
      <c r="C113" s="57"/>
      <c r="D113" s="5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2.95" customHeight="1" x14ac:dyDescent="0.2">
      <c r="A114" s="27"/>
      <c r="B114" s="27"/>
      <c r="C114" s="57"/>
      <c r="D114" s="5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2.95" customHeight="1" x14ac:dyDescent="0.2">
      <c r="A115" s="27"/>
      <c r="B115" s="27"/>
      <c r="C115" s="57"/>
      <c r="D115" s="5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2.95" customHeight="1" x14ac:dyDescent="0.2">
      <c r="A116" s="27"/>
      <c r="B116" s="27"/>
      <c r="C116" s="57"/>
      <c r="D116" s="5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2.95" customHeight="1" x14ac:dyDescent="0.2">
      <c r="A117" s="27"/>
      <c r="B117" s="27"/>
      <c r="C117" s="57"/>
      <c r="D117" s="5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2.95" customHeight="1" x14ac:dyDescent="0.2">
      <c r="A118" s="27"/>
      <c r="B118" s="27"/>
      <c r="C118" s="57"/>
      <c r="D118" s="5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2.95" customHeight="1" x14ac:dyDescent="0.2">
      <c r="A119" s="27"/>
      <c r="B119" s="27"/>
      <c r="C119" s="57"/>
      <c r="D119" s="5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2.95" customHeight="1" x14ac:dyDescent="0.2">
      <c r="A120" s="27"/>
      <c r="B120" s="27"/>
      <c r="C120" s="57"/>
      <c r="D120" s="5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2.95" customHeight="1" x14ac:dyDescent="0.2">
      <c r="A121" s="27"/>
      <c r="B121" s="27"/>
      <c r="C121" s="57"/>
      <c r="D121" s="5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2.95" customHeight="1" x14ac:dyDescent="0.2">
      <c r="A122" s="27"/>
      <c r="B122" s="27"/>
      <c r="C122" s="57"/>
      <c r="D122" s="5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2.95" customHeight="1" x14ac:dyDescent="0.2">
      <c r="A123" s="27"/>
      <c r="B123" s="27"/>
      <c r="C123" s="57"/>
      <c r="D123" s="5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2.95" customHeight="1" x14ac:dyDescent="0.2">
      <c r="A124" s="27"/>
      <c r="B124" s="27"/>
      <c r="C124" s="57"/>
      <c r="D124" s="5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2.95" customHeight="1" x14ac:dyDescent="0.2">
      <c r="A125" s="27"/>
      <c r="B125" s="27"/>
      <c r="C125" s="57"/>
      <c r="D125" s="5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2.95" customHeight="1" x14ac:dyDescent="0.2">
      <c r="A126" s="27"/>
      <c r="B126" s="27"/>
      <c r="C126" s="57"/>
      <c r="D126" s="5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2.95" customHeight="1" x14ac:dyDescent="0.2">
      <c r="A127" s="27"/>
      <c r="B127" s="27"/>
      <c r="C127" s="57"/>
      <c r="D127" s="5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2.95" customHeight="1" x14ac:dyDescent="0.2">
      <c r="A128" s="27"/>
      <c r="B128" s="27"/>
      <c r="C128" s="57"/>
      <c r="D128" s="5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2.95" customHeight="1" x14ac:dyDescent="0.2">
      <c r="A129" s="27"/>
      <c r="B129" s="27"/>
      <c r="C129" s="57"/>
      <c r="D129" s="5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2.95" customHeight="1" x14ac:dyDescent="0.2">
      <c r="A130" s="27"/>
      <c r="B130" s="27"/>
      <c r="C130" s="57"/>
      <c r="D130" s="5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2.95" customHeight="1" x14ac:dyDescent="0.2">
      <c r="A131" s="27"/>
      <c r="B131" s="27"/>
      <c r="C131" s="57"/>
      <c r="D131" s="5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x14ac:dyDescent="0.2">
      <c r="A132" s="27"/>
      <c r="B132" s="27"/>
      <c r="C132" s="57"/>
      <c r="D132" s="5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x14ac:dyDescent="0.2">
      <c r="A133" s="27"/>
      <c r="B133" s="27"/>
      <c r="C133" s="57"/>
      <c r="D133" s="5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x14ac:dyDescent="0.2">
      <c r="A134" s="27"/>
      <c r="B134" s="27"/>
      <c r="C134" s="57"/>
      <c r="D134" s="5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x14ac:dyDescent="0.2">
      <c r="A135" s="27"/>
      <c r="B135" s="27"/>
      <c r="C135" s="57"/>
      <c r="D135" s="5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x14ac:dyDescent="0.2">
      <c r="A136" s="27"/>
      <c r="B136" s="27"/>
      <c r="C136" s="57"/>
      <c r="D136" s="5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x14ac:dyDescent="0.2">
      <c r="A137" s="27"/>
      <c r="B137" s="27"/>
      <c r="C137" s="57"/>
      <c r="D137" s="5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x14ac:dyDescent="0.2">
      <c r="A138" s="27"/>
      <c r="B138" s="27"/>
      <c r="C138" s="57"/>
      <c r="D138" s="5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x14ac:dyDescent="0.2">
      <c r="A139" s="27"/>
      <c r="B139" s="27"/>
      <c r="C139" s="57"/>
      <c r="D139" s="5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x14ac:dyDescent="0.2">
      <c r="A140" s="27"/>
      <c r="B140" s="27"/>
      <c r="C140" s="57"/>
      <c r="D140" s="5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x14ac:dyDescent="0.2">
      <c r="A141" s="27"/>
      <c r="B141" s="27"/>
      <c r="C141" s="57"/>
      <c r="D141" s="5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x14ac:dyDescent="0.2">
      <c r="A142" s="27"/>
      <c r="B142" s="27"/>
      <c r="C142" s="57"/>
      <c r="D142" s="5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x14ac:dyDescent="0.2">
      <c r="A143" s="27"/>
      <c r="B143" s="27"/>
      <c r="C143" s="57"/>
      <c r="D143" s="5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x14ac:dyDescent="0.2">
      <c r="A144" s="27"/>
      <c r="B144" s="27"/>
      <c r="C144" s="57"/>
      <c r="D144" s="5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x14ac:dyDescent="0.2">
      <c r="A145" s="27"/>
      <c r="B145" s="27"/>
      <c r="C145" s="57"/>
      <c r="D145" s="5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x14ac:dyDescent="0.2">
      <c r="A146" s="27"/>
      <c r="B146" s="27"/>
      <c r="C146" s="57"/>
      <c r="D146" s="5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x14ac:dyDescent="0.2">
      <c r="A147" s="27"/>
      <c r="B147" s="27"/>
      <c r="C147" s="57"/>
      <c r="D147" s="5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x14ac:dyDescent="0.2">
      <c r="A148" s="27"/>
      <c r="B148" s="27"/>
      <c r="C148" s="57"/>
      <c r="D148" s="5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x14ac:dyDescent="0.2">
      <c r="A149" s="27"/>
      <c r="B149" s="27"/>
      <c r="C149" s="57"/>
      <c r="D149" s="5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x14ac:dyDescent="0.2">
      <c r="A150" s="27"/>
      <c r="B150" s="27"/>
      <c r="C150" s="57"/>
      <c r="D150" s="5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x14ac:dyDescent="0.2">
      <c r="A151" s="27"/>
      <c r="B151" s="27"/>
      <c r="C151" s="57"/>
      <c r="D151" s="5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x14ac:dyDescent="0.2">
      <c r="A152" s="27"/>
      <c r="B152" s="27"/>
      <c r="C152" s="57"/>
      <c r="D152" s="5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x14ac:dyDescent="0.2">
      <c r="A153" s="27"/>
      <c r="B153" s="27"/>
      <c r="C153" s="57"/>
      <c r="D153" s="5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x14ac:dyDescent="0.2">
      <c r="A154" s="27"/>
      <c r="B154" s="27"/>
      <c r="C154" s="57"/>
      <c r="D154" s="5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x14ac:dyDescent="0.2">
      <c r="A155" s="27"/>
      <c r="B155" s="27"/>
      <c r="C155" s="57"/>
      <c r="D155" s="5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x14ac:dyDescent="0.2">
      <c r="A156" s="27"/>
      <c r="B156" s="27"/>
      <c r="C156" s="57"/>
      <c r="D156" s="5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x14ac:dyDescent="0.2">
      <c r="A157" s="27"/>
      <c r="B157" s="27"/>
      <c r="C157" s="57"/>
      <c r="D157" s="5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x14ac:dyDescent="0.2">
      <c r="A158" s="27"/>
      <c r="B158" s="27"/>
      <c r="C158" s="57"/>
      <c r="D158" s="5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x14ac:dyDescent="0.2">
      <c r="A159" s="27"/>
      <c r="B159" s="27"/>
      <c r="C159" s="57"/>
      <c r="D159" s="5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x14ac:dyDescent="0.2">
      <c r="A160" s="27"/>
      <c r="B160" s="27"/>
      <c r="C160" s="57"/>
      <c r="D160" s="5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x14ac:dyDescent="0.2">
      <c r="A161" s="27"/>
      <c r="B161" s="27"/>
      <c r="C161" s="57"/>
      <c r="D161" s="5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x14ac:dyDescent="0.2">
      <c r="A162" s="27"/>
      <c r="B162" s="27"/>
      <c r="C162" s="57"/>
      <c r="D162" s="5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x14ac:dyDescent="0.2">
      <c r="A163" s="27"/>
      <c r="B163" s="27"/>
      <c r="C163" s="57"/>
      <c r="D163" s="5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x14ac:dyDescent="0.2">
      <c r="A164" s="27"/>
      <c r="B164" s="27"/>
      <c r="C164" s="57"/>
      <c r="D164" s="5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x14ac:dyDescent="0.2">
      <c r="A165" s="27"/>
      <c r="B165" s="27"/>
      <c r="C165" s="57"/>
      <c r="D165" s="5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x14ac:dyDescent="0.2">
      <c r="A166" s="27"/>
      <c r="B166" s="27"/>
      <c r="C166" s="57"/>
      <c r="D166" s="5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x14ac:dyDescent="0.2">
      <c r="A167" s="27"/>
      <c r="B167" s="27"/>
      <c r="C167" s="57"/>
      <c r="D167" s="5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x14ac:dyDescent="0.2">
      <c r="A168" s="27"/>
      <c r="B168" s="27"/>
      <c r="C168" s="57"/>
      <c r="D168" s="5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x14ac:dyDescent="0.2">
      <c r="A169" s="27"/>
      <c r="B169" s="27"/>
      <c r="C169" s="57"/>
      <c r="D169" s="5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x14ac:dyDescent="0.2">
      <c r="A170" s="27"/>
      <c r="B170" s="27"/>
      <c r="C170" s="57"/>
      <c r="D170" s="5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x14ac:dyDescent="0.2">
      <c r="A171" s="27"/>
      <c r="B171" s="27"/>
      <c r="C171" s="57"/>
      <c r="D171" s="5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x14ac:dyDescent="0.2">
      <c r="A172" s="27"/>
      <c r="B172" s="27"/>
      <c r="C172" s="57"/>
      <c r="D172" s="5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x14ac:dyDescent="0.2">
      <c r="A173" s="27"/>
      <c r="B173" s="27"/>
      <c r="C173" s="57"/>
      <c r="D173" s="5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x14ac:dyDescent="0.2">
      <c r="A174" s="27"/>
      <c r="B174" s="27"/>
      <c r="C174" s="57"/>
      <c r="D174" s="5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x14ac:dyDescent="0.2">
      <c r="A175" s="27"/>
      <c r="B175" s="27"/>
      <c r="C175" s="57"/>
      <c r="D175" s="5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x14ac:dyDescent="0.2">
      <c r="A176" s="27"/>
      <c r="B176" s="27"/>
      <c r="C176" s="57"/>
      <c r="D176" s="5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x14ac:dyDescent="0.2">
      <c r="A177" s="27"/>
      <c r="B177" s="27"/>
      <c r="C177" s="57"/>
      <c r="D177" s="5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x14ac:dyDescent="0.2">
      <c r="A178" s="27"/>
      <c r="B178" s="27"/>
      <c r="C178" s="57"/>
      <c r="D178" s="5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x14ac:dyDescent="0.2">
      <c r="A179" s="27"/>
      <c r="B179" s="27"/>
      <c r="C179" s="57"/>
      <c r="D179" s="5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x14ac:dyDescent="0.2">
      <c r="A180" s="27"/>
      <c r="B180" s="27"/>
      <c r="C180" s="57"/>
      <c r="D180" s="5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x14ac:dyDescent="0.2">
      <c r="A181" s="27"/>
      <c r="B181" s="27"/>
      <c r="C181" s="57"/>
      <c r="D181" s="5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x14ac:dyDescent="0.2">
      <c r="A182" s="27"/>
      <c r="B182" s="27"/>
      <c r="C182" s="57"/>
      <c r="D182" s="5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x14ac:dyDescent="0.2">
      <c r="A183" s="27"/>
      <c r="B183" s="27"/>
      <c r="C183" s="57"/>
      <c r="D183" s="5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x14ac:dyDescent="0.2">
      <c r="A184" s="27"/>
      <c r="B184" s="27"/>
      <c r="C184" s="57"/>
      <c r="D184" s="5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x14ac:dyDescent="0.2">
      <c r="A185" s="27"/>
      <c r="B185" s="27"/>
      <c r="C185" s="57"/>
      <c r="D185" s="5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x14ac:dyDescent="0.2">
      <c r="A186" s="27"/>
      <c r="B186" s="27"/>
      <c r="C186" s="57"/>
      <c r="D186" s="5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x14ac:dyDescent="0.2">
      <c r="A187" s="27"/>
      <c r="B187" s="27"/>
      <c r="C187" s="57"/>
      <c r="D187" s="5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x14ac:dyDescent="0.2">
      <c r="A188" s="27"/>
      <c r="B188" s="27"/>
      <c r="C188" s="57"/>
      <c r="D188" s="5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x14ac:dyDescent="0.2">
      <c r="A189" s="27"/>
      <c r="B189" s="27"/>
      <c r="C189" s="57"/>
      <c r="D189" s="5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x14ac:dyDescent="0.2">
      <c r="A190" s="27"/>
      <c r="B190" s="27"/>
      <c r="C190" s="57"/>
      <c r="D190" s="5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x14ac:dyDescent="0.2">
      <c r="A191" s="27"/>
      <c r="B191" s="27"/>
      <c r="C191" s="57"/>
      <c r="D191" s="5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x14ac:dyDescent="0.2">
      <c r="A192" s="27"/>
      <c r="B192" s="27"/>
      <c r="C192" s="57"/>
      <c r="D192" s="5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x14ac:dyDescent="0.2">
      <c r="A193" s="27"/>
      <c r="B193" s="27"/>
      <c r="C193" s="57"/>
      <c r="D193" s="5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x14ac:dyDescent="0.2">
      <c r="A194" s="27"/>
      <c r="B194" s="27"/>
      <c r="C194" s="57"/>
      <c r="D194" s="5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x14ac:dyDescent="0.2">
      <c r="A195" s="27"/>
      <c r="B195" s="27"/>
      <c r="C195" s="57"/>
      <c r="D195" s="5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x14ac:dyDescent="0.2">
      <c r="A196" s="27"/>
      <c r="B196" s="27"/>
      <c r="C196" s="57"/>
      <c r="D196" s="5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x14ac:dyDescent="0.2">
      <c r="A197" s="27"/>
      <c r="B197" s="27"/>
      <c r="C197" s="57"/>
      <c r="D197" s="5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x14ac:dyDescent="0.2">
      <c r="A198" s="27"/>
      <c r="B198" s="27"/>
      <c r="C198" s="57"/>
      <c r="D198" s="5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x14ac:dyDescent="0.2">
      <c r="A199" s="27"/>
      <c r="B199" s="27"/>
      <c r="C199" s="57"/>
      <c r="D199" s="5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x14ac:dyDescent="0.2">
      <c r="A200" s="27"/>
      <c r="B200" s="27"/>
      <c r="C200" s="57"/>
      <c r="D200" s="5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x14ac:dyDescent="0.2">
      <c r="A201" s="27"/>
      <c r="B201" s="27"/>
      <c r="C201" s="57"/>
      <c r="D201" s="5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x14ac:dyDescent="0.2">
      <c r="A202" s="27"/>
      <c r="B202" s="27"/>
      <c r="C202" s="57"/>
      <c r="D202" s="5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x14ac:dyDescent="0.2">
      <c r="A203" s="27"/>
      <c r="B203" s="27"/>
      <c r="C203" s="57"/>
      <c r="D203" s="5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x14ac:dyDescent="0.2">
      <c r="A204" s="27"/>
      <c r="B204" s="27"/>
      <c r="C204" s="57"/>
      <c r="D204" s="5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x14ac:dyDescent="0.2">
      <c r="A205" s="27"/>
      <c r="B205" s="27"/>
      <c r="C205" s="57"/>
      <c r="D205" s="5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x14ac:dyDescent="0.2">
      <c r="A206" s="27"/>
      <c r="B206" s="27"/>
      <c r="C206" s="57"/>
      <c r="D206" s="5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x14ac:dyDescent="0.2">
      <c r="A207" s="27"/>
      <c r="B207" s="27"/>
      <c r="C207" s="57"/>
      <c r="D207" s="5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x14ac:dyDescent="0.2">
      <c r="A208" s="27"/>
      <c r="B208" s="27"/>
      <c r="C208" s="57"/>
      <c r="D208" s="5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x14ac:dyDescent="0.2">
      <c r="A209" s="27"/>
      <c r="B209" s="27"/>
      <c r="C209" s="57"/>
      <c r="D209" s="5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x14ac:dyDescent="0.2">
      <c r="A210" s="27"/>
      <c r="B210" s="27"/>
      <c r="C210" s="57"/>
      <c r="D210" s="5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x14ac:dyDescent="0.2">
      <c r="A211" s="27"/>
      <c r="B211" s="27"/>
      <c r="C211" s="57"/>
      <c r="D211" s="5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x14ac:dyDescent="0.2">
      <c r="A212" s="27"/>
      <c r="B212" s="27"/>
      <c r="C212" s="57"/>
      <c r="D212" s="5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x14ac:dyDescent="0.2">
      <c r="A213" s="27"/>
      <c r="B213" s="27"/>
      <c r="C213" s="57"/>
      <c r="D213" s="5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x14ac:dyDescent="0.2">
      <c r="A214" s="27"/>
      <c r="B214" s="27"/>
      <c r="C214" s="57"/>
      <c r="D214" s="5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x14ac:dyDescent="0.2">
      <c r="A215" s="27"/>
      <c r="B215" s="27"/>
      <c r="C215" s="57"/>
      <c r="D215" s="5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x14ac:dyDescent="0.2">
      <c r="A216" s="27"/>
      <c r="B216" s="27"/>
      <c r="C216" s="57"/>
      <c r="D216" s="5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x14ac:dyDescent="0.2">
      <c r="A217" s="27"/>
      <c r="B217" s="27"/>
      <c r="C217" s="57"/>
      <c r="D217" s="5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x14ac:dyDescent="0.2">
      <c r="A218" s="27"/>
      <c r="B218" s="27"/>
      <c r="C218" s="57"/>
      <c r="D218" s="5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x14ac:dyDescent="0.2">
      <c r="A219" s="27"/>
      <c r="B219" s="27"/>
      <c r="C219" s="57"/>
      <c r="D219" s="5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x14ac:dyDescent="0.2">
      <c r="A220" s="27"/>
      <c r="B220" s="27"/>
      <c r="C220" s="57"/>
      <c r="D220" s="5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x14ac:dyDescent="0.2">
      <c r="A221" s="27"/>
      <c r="B221" s="27"/>
      <c r="C221" s="57"/>
      <c r="D221" s="5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x14ac:dyDescent="0.2">
      <c r="A222" s="27"/>
      <c r="B222" s="27"/>
      <c r="C222" s="57"/>
      <c r="D222" s="5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x14ac:dyDescent="0.2">
      <c r="A223" s="27"/>
      <c r="B223" s="27"/>
      <c r="C223" s="57"/>
      <c r="D223" s="5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x14ac:dyDescent="0.2">
      <c r="A224" s="27"/>
      <c r="B224" s="27"/>
      <c r="C224" s="57"/>
      <c r="D224" s="5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x14ac:dyDescent="0.2">
      <c r="A225" s="27"/>
      <c r="B225" s="27"/>
      <c r="C225" s="57"/>
      <c r="D225" s="5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x14ac:dyDescent="0.2">
      <c r="A226" s="27"/>
      <c r="B226" s="27"/>
      <c r="C226" s="57"/>
      <c r="D226" s="5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x14ac:dyDescent="0.2">
      <c r="A227" s="27"/>
      <c r="B227" s="27"/>
      <c r="C227" s="57"/>
      <c r="D227" s="5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x14ac:dyDescent="0.2">
      <c r="A228" s="27"/>
      <c r="B228" s="27"/>
      <c r="C228" s="57"/>
      <c r="D228" s="5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x14ac:dyDescent="0.2">
      <c r="A229" s="27"/>
      <c r="B229" s="27"/>
      <c r="C229" s="57"/>
      <c r="D229" s="5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x14ac:dyDescent="0.2">
      <c r="A230" s="27"/>
      <c r="B230" s="27"/>
      <c r="C230" s="57"/>
      <c r="D230" s="5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x14ac:dyDescent="0.2">
      <c r="A231" s="27"/>
      <c r="B231" s="27"/>
      <c r="C231" s="57"/>
      <c r="D231" s="5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x14ac:dyDescent="0.2">
      <c r="A232" s="27"/>
      <c r="B232" s="27"/>
      <c r="C232" s="57"/>
      <c r="D232" s="5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x14ac:dyDescent="0.2">
      <c r="A233" s="27"/>
      <c r="B233" s="27"/>
      <c r="C233" s="57"/>
      <c r="D233" s="5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x14ac:dyDescent="0.2">
      <c r="A234" s="27"/>
      <c r="B234" s="27"/>
      <c r="C234" s="57"/>
      <c r="D234" s="5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x14ac:dyDescent="0.2">
      <c r="A235" s="27"/>
      <c r="B235" s="27"/>
      <c r="C235" s="57"/>
      <c r="D235" s="5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x14ac:dyDescent="0.2">
      <c r="A236" s="27"/>
      <c r="B236" s="27"/>
      <c r="C236" s="57"/>
      <c r="D236" s="5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x14ac:dyDescent="0.2">
      <c r="A237" s="27"/>
      <c r="B237" s="27"/>
      <c r="C237" s="57"/>
      <c r="D237" s="5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x14ac:dyDescent="0.2">
      <c r="A238" s="27"/>
      <c r="B238" s="27"/>
      <c r="C238" s="57"/>
      <c r="D238" s="5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x14ac:dyDescent="0.2">
      <c r="A239" s="27"/>
      <c r="B239" s="27"/>
      <c r="C239" s="57"/>
      <c r="D239" s="5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x14ac:dyDescent="0.2">
      <c r="A240" s="27"/>
      <c r="B240" s="27"/>
      <c r="C240" s="57"/>
      <c r="D240" s="5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x14ac:dyDescent="0.2">
      <c r="A241" s="27"/>
      <c r="B241" s="27"/>
      <c r="C241" s="57"/>
      <c r="D241" s="5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x14ac:dyDescent="0.2">
      <c r="A242" s="27"/>
      <c r="B242" s="27"/>
      <c r="C242" s="57"/>
      <c r="D242" s="5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</sheetData>
  <protectedRanges>
    <protectedRange sqref="A56:D56" name="Range1"/>
  </protectedRanges>
  <sortState xmlns:xlrd2="http://schemas.microsoft.com/office/spreadsheetml/2017/richdata2" ref="A21:U64">
    <sortCondition ref="C21:C6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4"/>
  <sheetViews>
    <sheetView workbookViewId="0">
      <selection activeCell="A21" sqref="A21:D38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9" t="s">
        <v>59</v>
      </c>
      <c r="I1" s="10" t="s">
        <v>60</v>
      </c>
      <c r="J1" s="11" t="s">
        <v>61</v>
      </c>
    </row>
    <row r="2" spans="1:16" x14ac:dyDescent="0.2">
      <c r="I2" s="12" t="s">
        <v>62</v>
      </c>
      <c r="J2" s="13" t="s">
        <v>63</v>
      </c>
    </row>
    <row r="3" spans="1:16" x14ac:dyDescent="0.2">
      <c r="A3" s="14" t="s">
        <v>64</v>
      </c>
      <c r="I3" s="12" t="s">
        <v>65</v>
      </c>
      <c r="J3" s="13" t="s">
        <v>66</v>
      </c>
    </row>
    <row r="4" spans="1:16" x14ac:dyDescent="0.2">
      <c r="I4" s="12" t="s">
        <v>67</v>
      </c>
      <c r="J4" s="13" t="s">
        <v>66</v>
      </c>
    </row>
    <row r="5" spans="1:16" ht="13.5" thickBot="1" x14ac:dyDescent="0.25">
      <c r="I5" s="15" t="s">
        <v>68</v>
      </c>
      <c r="J5" s="16" t="s">
        <v>69</v>
      </c>
    </row>
    <row r="10" spans="1:16" ht="13.5" thickBot="1" x14ac:dyDescent="0.25"/>
    <row r="11" spans="1:16" ht="12.75" customHeight="1" thickBot="1" x14ac:dyDescent="0.25">
      <c r="A11" s="5" t="str">
        <f t="shared" ref="A11:A38" si="0">P11</f>
        <v>OEJV 0074 </v>
      </c>
      <c r="B11" s="2" t="str">
        <f t="shared" ref="B11:B38" si="1">IF(H11=INT(H11),"I","II")</f>
        <v>I</v>
      </c>
      <c r="C11" s="5">
        <f t="shared" ref="C11:C38" si="2">1*G11</f>
        <v>53108.455600000001</v>
      </c>
      <c r="D11" s="6" t="str">
        <f t="shared" ref="D11:D38" si="3">VLOOKUP(F11,I$1:J$5,2,FALSE)</f>
        <v>vis</v>
      </c>
      <c r="E11" s="17">
        <f>VLOOKUP(C11,'Active 1'!C$21:E$956,3,FALSE)</f>
        <v>677.99863103336861</v>
      </c>
      <c r="F11" s="2" t="s">
        <v>68</v>
      </c>
      <c r="G11" s="6" t="str">
        <f t="shared" ref="G11:G38" si="4">MID(I11,3,LEN(I11)-3)</f>
        <v>53108.4556</v>
      </c>
      <c r="H11" s="5">
        <f t="shared" ref="H11:H38" si="5">1*K11</f>
        <v>678</v>
      </c>
      <c r="I11" s="18" t="s">
        <v>70</v>
      </c>
      <c r="J11" s="19" t="s">
        <v>71</v>
      </c>
      <c r="K11" s="18">
        <v>678</v>
      </c>
      <c r="L11" s="18" t="s">
        <v>72</v>
      </c>
      <c r="M11" s="19" t="s">
        <v>73</v>
      </c>
      <c r="N11" s="19" t="s">
        <v>74</v>
      </c>
      <c r="O11" s="20" t="s">
        <v>75</v>
      </c>
      <c r="P11" s="21" t="s">
        <v>76</v>
      </c>
    </row>
    <row r="12" spans="1:16" ht="12.75" customHeight="1" thickBot="1" x14ac:dyDescent="0.25">
      <c r="A12" s="5" t="str">
        <f t="shared" si="0"/>
        <v>OEJV 0003 </v>
      </c>
      <c r="B12" s="2" t="str">
        <f t="shared" si="1"/>
        <v>I</v>
      </c>
      <c r="C12" s="5">
        <f t="shared" si="2"/>
        <v>53374.665000000001</v>
      </c>
      <c r="D12" s="6" t="str">
        <f t="shared" si="3"/>
        <v>vis</v>
      </c>
      <c r="E12" s="17">
        <f>VLOOKUP(C12,'Active 1'!C$21:E$956,3,FALSE)</f>
        <v>975.00905113430588</v>
      </c>
      <c r="F12" s="2" t="s">
        <v>68</v>
      </c>
      <c r="G12" s="6" t="str">
        <f t="shared" si="4"/>
        <v>53374.665</v>
      </c>
      <c r="H12" s="5">
        <f t="shared" si="5"/>
        <v>975</v>
      </c>
      <c r="I12" s="18" t="s">
        <v>86</v>
      </c>
      <c r="J12" s="19" t="s">
        <v>87</v>
      </c>
      <c r="K12" s="18">
        <v>975</v>
      </c>
      <c r="L12" s="18" t="s">
        <v>88</v>
      </c>
      <c r="M12" s="19" t="s">
        <v>89</v>
      </c>
      <c r="N12" s="19"/>
      <c r="O12" s="20" t="s">
        <v>90</v>
      </c>
      <c r="P12" s="21" t="s">
        <v>91</v>
      </c>
    </row>
    <row r="13" spans="1:16" ht="12.75" customHeight="1" thickBot="1" x14ac:dyDescent="0.25">
      <c r="A13" s="5" t="str">
        <f t="shared" si="0"/>
        <v>IBVS 5894 </v>
      </c>
      <c r="B13" s="2" t="str">
        <f t="shared" si="1"/>
        <v>I</v>
      </c>
      <c r="C13" s="5">
        <f t="shared" si="2"/>
        <v>54884.913200000003</v>
      </c>
      <c r="D13" s="6" t="str">
        <f t="shared" si="3"/>
        <v>vis</v>
      </c>
      <c r="E13" s="17">
        <f>VLOOKUP(C13,'Active 1'!C$21:E$956,3,FALSE)</f>
        <v>2659.9963293396786</v>
      </c>
      <c r="F13" s="2" t="s">
        <v>68</v>
      </c>
      <c r="G13" s="6" t="str">
        <f t="shared" si="4"/>
        <v>54884.9132</v>
      </c>
      <c r="H13" s="5">
        <f t="shared" si="5"/>
        <v>2660</v>
      </c>
      <c r="I13" s="18" t="s">
        <v>136</v>
      </c>
      <c r="J13" s="19" t="s">
        <v>137</v>
      </c>
      <c r="K13" s="18">
        <v>2660</v>
      </c>
      <c r="L13" s="18" t="s">
        <v>138</v>
      </c>
      <c r="M13" s="19" t="s">
        <v>73</v>
      </c>
      <c r="N13" s="19" t="s">
        <v>68</v>
      </c>
      <c r="O13" s="20" t="s">
        <v>139</v>
      </c>
      <c r="P13" s="21" t="s">
        <v>140</v>
      </c>
    </row>
    <row r="14" spans="1:16" ht="12.75" customHeight="1" thickBot="1" x14ac:dyDescent="0.25">
      <c r="A14" s="5" t="str">
        <f t="shared" si="0"/>
        <v>OEJV 0107 </v>
      </c>
      <c r="B14" s="2" t="str">
        <f t="shared" si="1"/>
        <v>II</v>
      </c>
      <c r="C14" s="5">
        <f t="shared" si="2"/>
        <v>54937.348400000003</v>
      </c>
      <c r="D14" s="6" t="str">
        <f t="shared" si="3"/>
        <v>vis</v>
      </c>
      <c r="E14" s="17">
        <f>VLOOKUP(C14,'Active 1'!C$21:E$956,3,FALSE)</f>
        <v>2718.4983986883817</v>
      </c>
      <c r="F14" s="2" t="s">
        <v>68</v>
      </c>
      <c r="G14" s="6" t="str">
        <f t="shared" si="4"/>
        <v>54937.3484</v>
      </c>
      <c r="H14" s="5">
        <f t="shared" si="5"/>
        <v>2718.5</v>
      </c>
      <c r="I14" s="18" t="s">
        <v>141</v>
      </c>
      <c r="J14" s="19" t="s">
        <v>142</v>
      </c>
      <c r="K14" s="18">
        <v>2718.5</v>
      </c>
      <c r="L14" s="18" t="s">
        <v>85</v>
      </c>
      <c r="M14" s="19" t="s">
        <v>73</v>
      </c>
      <c r="N14" s="19" t="s">
        <v>74</v>
      </c>
      <c r="O14" s="20" t="s">
        <v>143</v>
      </c>
      <c r="P14" s="21" t="s">
        <v>144</v>
      </c>
    </row>
    <row r="15" spans="1:16" ht="12.75" customHeight="1" thickBot="1" x14ac:dyDescent="0.25">
      <c r="A15" s="5" t="str">
        <f t="shared" si="0"/>
        <v>IBVS 5992 </v>
      </c>
      <c r="B15" s="2" t="str">
        <f t="shared" si="1"/>
        <v>I</v>
      </c>
      <c r="C15" s="5">
        <f t="shared" si="2"/>
        <v>55654.833700000003</v>
      </c>
      <c r="D15" s="6" t="str">
        <f t="shared" si="3"/>
        <v>vis</v>
      </c>
      <c r="E15" s="17">
        <f>VLOOKUP(C15,'Active 1'!C$21:E$956,3,FALSE)</f>
        <v>3518.9983448557496</v>
      </c>
      <c r="F15" s="2" t="s">
        <v>68</v>
      </c>
      <c r="G15" s="6" t="str">
        <f t="shared" si="4"/>
        <v>55654.8337</v>
      </c>
      <c r="H15" s="5">
        <f t="shared" si="5"/>
        <v>3519</v>
      </c>
      <c r="I15" s="18" t="s">
        <v>145</v>
      </c>
      <c r="J15" s="19" t="s">
        <v>146</v>
      </c>
      <c r="K15" s="18">
        <v>3519</v>
      </c>
      <c r="L15" s="18" t="s">
        <v>147</v>
      </c>
      <c r="M15" s="19" t="s">
        <v>73</v>
      </c>
      <c r="N15" s="19" t="s">
        <v>68</v>
      </c>
      <c r="O15" s="20" t="s">
        <v>139</v>
      </c>
      <c r="P15" s="21" t="s">
        <v>148</v>
      </c>
    </row>
    <row r="16" spans="1:16" ht="12.75" customHeight="1" thickBot="1" x14ac:dyDescent="0.25">
      <c r="A16" s="5" t="str">
        <f t="shared" si="0"/>
        <v>BAVM 220 </v>
      </c>
      <c r="B16" s="2" t="str">
        <f t="shared" si="1"/>
        <v>I</v>
      </c>
      <c r="C16" s="5">
        <f t="shared" si="2"/>
        <v>55667.3825</v>
      </c>
      <c r="D16" s="6" t="str">
        <f t="shared" si="3"/>
        <v>vis</v>
      </c>
      <c r="E16" s="17">
        <f>VLOOKUP(C16,'Active 1'!C$21:E$956,3,FALSE)</f>
        <v>3532.9990689464903</v>
      </c>
      <c r="F16" s="2" t="s">
        <v>68</v>
      </c>
      <c r="G16" s="6" t="str">
        <f t="shared" si="4"/>
        <v>55667.3825</v>
      </c>
      <c r="H16" s="5">
        <f t="shared" si="5"/>
        <v>3533</v>
      </c>
      <c r="I16" s="18" t="s">
        <v>149</v>
      </c>
      <c r="J16" s="19" t="s">
        <v>150</v>
      </c>
      <c r="K16" s="18">
        <v>3533</v>
      </c>
      <c r="L16" s="18" t="s">
        <v>106</v>
      </c>
      <c r="M16" s="19" t="s">
        <v>73</v>
      </c>
      <c r="N16" s="19" t="s">
        <v>151</v>
      </c>
      <c r="O16" s="20" t="s">
        <v>152</v>
      </c>
      <c r="P16" s="21" t="s">
        <v>153</v>
      </c>
    </row>
    <row r="17" spans="1:16" ht="12.75" customHeight="1" thickBot="1" x14ac:dyDescent="0.25">
      <c r="A17" s="5" t="str">
        <f t="shared" si="0"/>
        <v>IBVS 6029 </v>
      </c>
      <c r="B17" s="2" t="str">
        <f t="shared" si="1"/>
        <v>I</v>
      </c>
      <c r="C17" s="5">
        <f t="shared" si="2"/>
        <v>55973.918100000003</v>
      </c>
      <c r="D17" s="6" t="str">
        <f t="shared" si="3"/>
        <v>vis</v>
      </c>
      <c r="E17" s="17">
        <f>VLOOKUP(C17,'Active 1'!C$21:E$956,3,FALSE)</f>
        <v>3875.0015201442839</v>
      </c>
      <c r="F17" s="2" t="s">
        <v>68</v>
      </c>
      <c r="G17" s="6" t="str">
        <f t="shared" si="4"/>
        <v>55973.9181</v>
      </c>
      <c r="H17" s="5">
        <f t="shared" si="5"/>
        <v>3875</v>
      </c>
      <c r="I17" s="18" t="s">
        <v>154</v>
      </c>
      <c r="J17" s="19" t="s">
        <v>155</v>
      </c>
      <c r="K17" s="18">
        <v>3875</v>
      </c>
      <c r="L17" s="18" t="s">
        <v>156</v>
      </c>
      <c r="M17" s="19" t="s">
        <v>73</v>
      </c>
      <c r="N17" s="19" t="s">
        <v>68</v>
      </c>
      <c r="O17" s="20" t="s">
        <v>139</v>
      </c>
      <c r="P17" s="21" t="s">
        <v>157</v>
      </c>
    </row>
    <row r="18" spans="1:16" ht="12.75" customHeight="1" thickBot="1" x14ac:dyDescent="0.25">
      <c r="A18" s="5" t="str">
        <f t="shared" si="0"/>
        <v>IBVS 6029 </v>
      </c>
      <c r="B18" s="2" t="str">
        <f t="shared" si="1"/>
        <v>I</v>
      </c>
      <c r="C18" s="5">
        <f t="shared" si="2"/>
        <v>55982.880400000002</v>
      </c>
      <c r="D18" s="6" t="str">
        <f t="shared" si="3"/>
        <v>vis</v>
      </c>
      <c r="E18" s="17">
        <f>VLOOKUP(C18,'Active 1'!C$21:E$956,3,FALSE)</f>
        <v>3885.0007782023026</v>
      </c>
      <c r="F18" s="2" t="s">
        <v>68</v>
      </c>
      <c r="G18" s="6" t="str">
        <f t="shared" si="4"/>
        <v>55982.8804</v>
      </c>
      <c r="H18" s="5">
        <f t="shared" si="5"/>
        <v>3885</v>
      </c>
      <c r="I18" s="18" t="s">
        <v>158</v>
      </c>
      <c r="J18" s="19" t="s">
        <v>159</v>
      </c>
      <c r="K18" s="18">
        <v>3885</v>
      </c>
      <c r="L18" s="18" t="s">
        <v>160</v>
      </c>
      <c r="M18" s="19" t="s">
        <v>73</v>
      </c>
      <c r="N18" s="19" t="s">
        <v>68</v>
      </c>
      <c r="O18" s="20" t="s">
        <v>139</v>
      </c>
      <c r="P18" s="21" t="s">
        <v>157</v>
      </c>
    </row>
    <row r="19" spans="1:16" ht="12.75" customHeight="1" thickBot="1" x14ac:dyDescent="0.25">
      <c r="A19" s="5" t="str">
        <f t="shared" si="0"/>
        <v>IBVS 6092 </v>
      </c>
      <c r="B19" s="2" t="str">
        <f t="shared" si="1"/>
        <v>I</v>
      </c>
      <c r="C19" s="5">
        <f t="shared" si="2"/>
        <v>56363.805999999997</v>
      </c>
      <c r="D19" s="6" t="str">
        <f t="shared" si="3"/>
        <v>vis</v>
      </c>
      <c r="E19" s="17">
        <f>VLOOKUP(C19,'Active 1'!C$21:E$956,3,FALSE)</f>
        <v>4310.0003179751293</v>
      </c>
      <c r="F19" s="2" t="s">
        <v>68</v>
      </c>
      <c r="G19" s="6" t="str">
        <f t="shared" si="4"/>
        <v>56363.806</v>
      </c>
      <c r="H19" s="5">
        <f t="shared" si="5"/>
        <v>4310</v>
      </c>
      <c r="I19" s="18" t="s">
        <v>161</v>
      </c>
      <c r="J19" s="19" t="s">
        <v>162</v>
      </c>
      <c r="K19" s="18">
        <v>4310</v>
      </c>
      <c r="L19" s="18" t="s">
        <v>163</v>
      </c>
      <c r="M19" s="19" t="s">
        <v>73</v>
      </c>
      <c r="N19" s="19" t="s">
        <v>60</v>
      </c>
      <c r="O19" s="20" t="s">
        <v>164</v>
      </c>
      <c r="P19" s="21" t="s">
        <v>165</v>
      </c>
    </row>
    <row r="20" spans="1:16" ht="12.75" customHeight="1" thickBot="1" x14ac:dyDescent="0.25">
      <c r="A20" s="5" t="str">
        <f t="shared" si="0"/>
        <v>OEJV 0172 </v>
      </c>
      <c r="B20" s="2" t="str">
        <f t="shared" si="1"/>
        <v>I</v>
      </c>
      <c r="C20" s="5">
        <f t="shared" si="2"/>
        <v>57021.692000000003</v>
      </c>
      <c r="D20" s="6" t="str">
        <f t="shared" si="3"/>
        <v>vis</v>
      </c>
      <c r="E20" s="17">
        <f>VLOOKUP(C20,'Active 1'!C$21:E$956,3,FALSE)</f>
        <v>5044.0051924781601</v>
      </c>
      <c r="F20" s="2" t="s">
        <v>68</v>
      </c>
      <c r="G20" s="6" t="str">
        <f t="shared" si="4"/>
        <v>57021.692</v>
      </c>
      <c r="H20" s="5">
        <f t="shared" si="5"/>
        <v>5044</v>
      </c>
      <c r="I20" s="18" t="s">
        <v>166</v>
      </c>
      <c r="J20" s="19" t="s">
        <v>167</v>
      </c>
      <c r="K20" s="18">
        <v>5044</v>
      </c>
      <c r="L20" s="18" t="s">
        <v>168</v>
      </c>
      <c r="M20" s="19" t="s">
        <v>73</v>
      </c>
      <c r="N20" s="19" t="s">
        <v>151</v>
      </c>
      <c r="O20" s="20" t="s">
        <v>169</v>
      </c>
      <c r="P20" s="21" t="s">
        <v>170</v>
      </c>
    </row>
    <row r="21" spans="1:16" ht="12.75" customHeight="1" thickBot="1" x14ac:dyDescent="0.25">
      <c r="A21" s="5" t="str">
        <f t="shared" si="0"/>
        <v>OEJV 0074 </v>
      </c>
      <c r="B21" s="2" t="str">
        <f t="shared" si="1"/>
        <v>I</v>
      </c>
      <c r="C21" s="5">
        <f t="shared" si="2"/>
        <v>53109.354200000002</v>
      </c>
      <c r="D21" s="6" t="str">
        <f t="shared" si="3"/>
        <v>vis</v>
      </c>
      <c r="E21" s="17" t="e">
        <f>VLOOKUP(C21,'Active 1'!C$21:E$956,3,FALSE)</f>
        <v>#N/A</v>
      </c>
      <c r="F21" s="2" t="s">
        <v>68</v>
      </c>
      <c r="G21" s="6" t="str">
        <f t="shared" si="4"/>
        <v>53109.3542</v>
      </c>
      <c r="H21" s="5">
        <f t="shared" si="5"/>
        <v>679</v>
      </c>
      <c r="I21" s="18" t="s">
        <v>77</v>
      </c>
      <c r="J21" s="19" t="s">
        <v>78</v>
      </c>
      <c r="K21" s="18">
        <v>679</v>
      </c>
      <c r="L21" s="18" t="s">
        <v>79</v>
      </c>
      <c r="M21" s="19" t="s">
        <v>73</v>
      </c>
      <c r="N21" s="19" t="s">
        <v>74</v>
      </c>
      <c r="O21" s="20" t="s">
        <v>75</v>
      </c>
      <c r="P21" s="21" t="s">
        <v>76</v>
      </c>
    </row>
    <row r="22" spans="1:16" ht="12.75" customHeight="1" thickBot="1" x14ac:dyDescent="0.25">
      <c r="A22" s="5" t="str">
        <f t="shared" si="0"/>
        <v>OEJV 0074 </v>
      </c>
      <c r="B22" s="2" t="str">
        <f t="shared" si="1"/>
        <v>I</v>
      </c>
      <c r="C22" s="5">
        <f t="shared" si="2"/>
        <v>53117.4185</v>
      </c>
      <c r="D22" s="6" t="str">
        <f t="shared" si="3"/>
        <v>vis</v>
      </c>
      <c r="E22" s="17" t="e">
        <f>VLOOKUP(C22,'Active 1'!C$21:E$956,3,FALSE)</f>
        <v>#N/A</v>
      </c>
      <c r="F22" s="2" t="s">
        <v>68</v>
      </c>
      <c r="G22" s="6" t="str">
        <f t="shared" si="4"/>
        <v>53117.4185</v>
      </c>
      <c r="H22" s="5">
        <f t="shared" si="5"/>
        <v>688</v>
      </c>
      <c r="I22" s="18" t="s">
        <v>80</v>
      </c>
      <c r="J22" s="19" t="s">
        <v>81</v>
      </c>
      <c r="K22" s="18">
        <v>688</v>
      </c>
      <c r="L22" s="18" t="s">
        <v>82</v>
      </c>
      <c r="M22" s="19" t="s">
        <v>73</v>
      </c>
      <c r="N22" s="19" t="s">
        <v>74</v>
      </c>
      <c r="O22" s="20" t="s">
        <v>75</v>
      </c>
      <c r="P22" s="21" t="s">
        <v>76</v>
      </c>
    </row>
    <row r="23" spans="1:16" ht="12.75" customHeight="1" thickBot="1" x14ac:dyDescent="0.25">
      <c r="A23" s="5" t="str">
        <f t="shared" si="0"/>
        <v>OEJV 0074 </v>
      </c>
      <c r="B23" s="2" t="str">
        <f t="shared" si="1"/>
        <v>I</v>
      </c>
      <c r="C23" s="5">
        <f t="shared" si="2"/>
        <v>53340.5965</v>
      </c>
      <c r="D23" s="6" t="str">
        <f t="shared" si="3"/>
        <v>vis</v>
      </c>
      <c r="E23" s="17" t="e">
        <f>VLOOKUP(C23,'Active 1'!C$21:E$956,3,FALSE)</f>
        <v>#N/A</v>
      </c>
      <c r="F23" s="2" t="s">
        <v>68</v>
      </c>
      <c r="G23" s="6" t="str">
        <f t="shared" si="4"/>
        <v>53340.5965</v>
      </c>
      <c r="H23" s="5">
        <f t="shared" si="5"/>
        <v>937</v>
      </c>
      <c r="I23" s="18" t="s">
        <v>83</v>
      </c>
      <c r="J23" s="19" t="s">
        <v>84</v>
      </c>
      <c r="K23" s="18">
        <v>937</v>
      </c>
      <c r="L23" s="18" t="s">
        <v>85</v>
      </c>
      <c r="M23" s="19" t="s">
        <v>73</v>
      </c>
      <c r="N23" s="19" t="s">
        <v>39</v>
      </c>
      <c r="O23" s="20" t="s">
        <v>75</v>
      </c>
      <c r="P23" s="21" t="s">
        <v>76</v>
      </c>
    </row>
    <row r="24" spans="1:16" ht="12.75" customHeight="1" thickBot="1" x14ac:dyDescent="0.25">
      <c r="A24" s="5" t="str">
        <f t="shared" si="0"/>
        <v>OEJV 0074 </v>
      </c>
      <c r="B24" s="2" t="str">
        <f t="shared" si="1"/>
        <v>II</v>
      </c>
      <c r="C24" s="5">
        <f t="shared" si="2"/>
        <v>53388.548900000002</v>
      </c>
      <c r="D24" s="6" t="str">
        <f t="shared" si="3"/>
        <v>vis</v>
      </c>
      <c r="E24" s="17" t="e">
        <f>VLOOKUP(C24,'Active 1'!C$21:E$956,3,FALSE)</f>
        <v>#N/A</v>
      </c>
      <c r="F24" s="2" t="s">
        <v>68</v>
      </c>
      <c r="G24" s="6" t="str">
        <f t="shared" si="4"/>
        <v>53388.5489</v>
      </c>
      <c r="H24" s="5">
        <f t="shared" si="5"/>
        <v>990.5</v>
      </c>
      <c r="I24" s="18" t="s">
        <v>92</v>
      </c>
      <c r="J24" s="19" t="s">
        <v>93</v>
      </c>
      <c r="K24" s="18">
        <v>990.5</v>
      </c>
      <c r="L24" s="18" t="s">
        <v>94</v>
      </c>
      <c r="M24" s="19" t="s">
        <v>73</v>
      </c>
      <c r="N24" s="19" t="s">
        <v>39</v>
      </c>
      <c r="O24" s="20" t="s">
        <v>75</v>
      </c>
      <c r="P24" s="21" t="s">
        <v>76</v>
      </c>
    </row>
    <row r="25" spans="1:16" ht="12.75" customHeight="1" thickBot="1" x14ac:dyDescent="0.25">
      <c r="A25" s="5" t="str">
        <f t="shared" si="0"/>
        <v>OEJV 0074 </v>
      </c>
      <c r="B25" s="2" t="str">
        <f t="shared" si="1"/>
        <v>I</v>
      </c>
      <c r="C25" s="5">
        <f t="shared" si="2"/>
        <v>53409.611499999999</v>
      </c>
      <c r="D25" s="6" t="str">
        <f t="shared" si="3"/>
        <v>vis</v>
      </c>
      <c r="E25" s="17" t="e">
        <f>VLOOKUP(C25,'Active 1'!C$21:E$956,3,FALSE)</f>
        <v>#N/A</v>
      </c>
      <c r="F25" s="2" t="s">
        <v>68</v>
      </c>
      <c r="G25" s="6" t="str">
        <f t="shared" si="4"/>
        <v>53409.6115</v>
      </c>
      <c r="H25" s="5">
        <f t="shared" si="5"/>
        <v>1014</v>
      </c>
      <c r="I25" s="18" t="s">
        <v>95</v>
      </c>
      <c r="J25" s="19" t="s">
        <v>96</v>
      </c>
      <c r="K25" s="18">
        <v>1014</v>
      </c>
      <c r="L25" s="18" t="s">
        <v>97</v>
      </c>
      <c r="M25" s="19" t="s">
        <v>73</v>
      </c>
      <c r="N25" s="19" t="s">
        <v>39</v>
      </c>
      <c r="O25" s="20" t="s">
        <v>75</v>
      </c>
      <c r="P25" s="21" t="s">
        <v>76</v>
      </c>
    </row>
    <row r="26" spans="1:16" ht="12.75" customHeight="1" thickBot="1" x14ac:dyDescent="0.25">
      <c r="A26" s="5" t="str">
        <f t="shared" si="0"/>
        <v>OEJV 0074 </v>
      </c>
      <c r="B26" s="2" t="str">
        <f t="shared" si="1"/>
        <v>I</v>
      </c>
      <c r="C26" s="5">
        <f t="shared" si="2"/>
        <v>53454.426800000001</v>
      </c>
      <c r="D26" s="6" t="str">
        <f t="shared" si="3"/>
        <v>vis</v>
      </c>
      <c r="E26" s="17" t="e">
        <f>VLOOKUP(C26,'Active 1'!C$21:E$956,3,FALSE)</f>
        <v>#N/A</v>
      </c>
      <c r="F26" s="2" t="s">
        <v>68</v>
      </c>
      <c r="G26" s="6" t="str">
        <f t="shared" si="4"/>
        <v>53454.4268</v>
      </c>
      <c r="H26" s="5">
        <f t="shared" si="5"/>
        <v>1064</v>
      </c>
      <c r="I26" s="18" t="s">
        <v>98</v>
      </c>
      <c r="J26" s="19" t="s">
        <v>99</v>
      </c>
      <c r="K26" s="18">
        <v>1064</v>
      </c>
      <c r="L26" s="18" t="s">
        <v>100</v>
      </c>
      <c r="M26" s="19" t="s">
        <v>73</v>
      </c>
      <c r="N26" s="19" t="s">
        <v>68</v>
      </c>
      <c r="O26" s="20" t="s">
        <v>75</v>
      </c>
      <c r="P26" s="21" t="s">
        <v>76</v>
      </c>
    </row>
    <row r="27" spans="1:16" ht="12.75" customHeight="1" thickBot="1" x14ac:dyDescent="0.25">
      <c r="A27" s="5" t="str">
        <f t="shared" si="0"/>
        <v>OEJV 0074 </v>
      </c>
      <c r="B27" s="2" t="str">
        <f t="shared" si="1"/>
        <v>I</v>
      </c>
      <c r="C27" s="5">
        <f t="shared" si="2"/>
        <v>53462.492700000003</v>
      </c>
      <c r="D27" s="6" t="str">
        <f t="shared" si="3"/>
        <v>vis</v>
      </c>
      <c r="E27" s="17" t="e">
        <f>VLOOKUP(C27,'Active 1'!C$21:E$956,3,FALSE)</f>
        <v>#N/A</v>
      </c>
      <c r="F27" s="2" t="s">
        <v>68</v>
      </c>
      <c r="G27" s="6" t="str">
        <f t="shared" si="4"/>
        <v>53462.4927</v>
      </c>
      <c r="H27" s="5">
        <f t="shared" si="5"/>
        <v>1073</v>
      </c>
      <c r="I27" s="18" t="s">
        <v>101</v>
      </c>
      <c r="J27" s="19" t="s">
        <v>102</v>
      </c>
      <c r="K27" s="18">
        <v>1073</v>
      </c>
      <c r="L27" s="18" t="s">
        <v>103</v>
      </c>
      <c r="M27" s="19" t="s">
        <v>73</v>
      </c>
      <c r="N27" s="19" t="s">
        <v>39</v>
      </c>
      <c r="O27" s="20" t="s">
        <v>75</v>
      </c>
      <c r="P27" s="21" t="s">
        <v>76</v>
      </c>
    </row>
    <row r="28" spans="1:16" ht="12.75" customHeight="1" thickBot="1" x14ac:dyDescent="0.25">
      <c r="A28" s="5" t="str">
        <f t="shared" si="0"/>
        <v>OEJV 0074 </v>
      </c>
      <c r="B28" s="2" t="str">
        <f t="shared" si="1"/>
        <v>I</v>
      </c>
      <c r="C28" s="5">
        <f t="shared" si="2"/>
        <v>53463.389900000002</v>
      </c>
      <c r="D28" s="6" t="str">
        <f t="shared" si="3"/>
        <v>vis</v>
      </c>
      <c r="E28" s="17" t="e">
        <f>VLOOKUP(C28,'Active 1'!C$21:E$956,3,FALSE)</f>
        <v>#N/A</v>
      </c>
      <c r="F28" s="2" t="s">
        <v>68</v>
      </c>
      <c r="G28" s="6" t="str">
        <f t="shared" si="4"/>
        <v>53463.3899</v>
      </c>
      <c r="H28" s="5">
        <f t="shared" si="5"/>
        <v>1074</v>
      </c>
      <c r="I28" s="18" t="s">
        <v>104</v>
      </c>
      <c r="J28" s="19" t="s">
        <v>105</v>
      </c>
      <c r="K28" s="18">
        <v>1074</v>
      </c>
      <c r="L28" s="18" t="s">
        <v>106</v>
      </c>
      <c r="M28" s="19" t="s">
        <v>73</v>
      </c>
      <c r="N28" s="19" t="s">
        <v>39</v>
      </c>
      <c r="O28" s="20" t="s">
        <v>75</v>
      </c>
      <c r="P28" s="21" t="s">
        <v>76</v>
      </c>
    </row>
    <row r="29" spans="1:16" ht="12.75" customHeight="1" thickBot="1" x14ac:dyDescent="0.25">
      <c r="A29" s="5" t="str">
        <f t="shared" si="0"/>
        <v>OEJV 0074 </v>
      </c>
      <c r="B29" s="2" t="str">
        <f t="shared" si="1"/>
        <v>I</v>
      </c>
      <c r="C29" s="5">
        <f t="shared" si="2"/>
        <v>53515.378100000002</v>
      </c>
      <c r="D29" s="6" t="str">
        <f t="shared" si="3"/>
        <v>vis</v>
      </c>
      <c r="E29" s="17" t="e">
        <f>VLOOKUP(C29,'Active 1'!C$21:E$956,3,FALSE)</f>
        <v>#N/A</v>
      </c>
      <c r="F29" s="2" t="s">
        <v>68</v>
      </c>
      <c r="G29" s="6" t="str">
        <f t="shared" si="4"/>
        <v>53515.3781</v>
      </c>
      <c r="H29" s="5">
        <f t="shared" si="5"/>
        <v>1132</v>
      </c>
      <c r="I29" s="18" t="s">
        <v>107</v>
      </c>
      <c r="J29" s="19" t="s">
        <v>108</v>
      </c>
      <c r="K29" s="18">
        <v>1132</v>
      </c>
      <c r="L29" s="18" t="s">
        <v>109</v>
      </c>
      <c r="M29" s="19" t="s">
        <v>73</v>
      </c>
      <c r="N29" s="19" t="s">
        <v>39</v>
      </c>
      <c r="O29" s="20" t="s">
        <v>75</v>
      </c>
      <c r="P29" s="21" t="s">
        <v>76</v>
      </c>
    </row>
    <row r="30" spans="1:16" ht="12.75" customHeight="1" thickBot="1" x14ac:dyDescent="0.25">
      <c r="A30" s="5" t="str">
        <f t="shared" si="0"/>
        <v>OEJV 0074 </v>
      </c>
      <c r="B30" s="2" t="str">
        <f t="shared" si="1"/>
        <v>I</v>
      </c>
      <c r="C30" s="5">
        <f t="shared" si="2"/>
        <v>53791.435299999997</v>
      </c>
      <c r="D30" s="6" t="str">
        <f t="shared" si="3"/>
        <v>vis</v>
      </c>
      <c r="E30" s="17" t="e">
        <f>VLOOKUP(C30,'Active 1'!C$21:E$956,3,FALSE)</f>
        <v>#N/A</v>
      </c>
      <c r="F30" s="2" t="s">
        <v>68</v>
      </c>
      <c r="G30" s="6" t="str">
        <f t="shared" si="4"/>
        <v>53791.4353</v>
      </c>
      <c r="H30" s="5">
        <f t="shared" si="5"/>
        <v>1440</v>
      </c>
      <c r="I30" s="18" t="s">
        <v>110</v>
      </c>
      <c r="J30" s="19" t="s">
        <v>111</v>
      </c>
      <c r="K30" s="18">
        <v>1440</v>
      </c>
      <c r="L30" s="18" t="s">
        <v>112</v>
      </c>
      <c r="M30" s="19" t="s">
        <v>73</v>
      </c>
      <c r="N30" s="19" t="s">
        <v>39</v>
      </c>
      <c r="O30" s="20" t="s">
        <v>75</v>
      </c>
      <c r="P30" s="21" t="s">
        <v>76</v>
      </c>
    </row>
    <row r="31" spans="1:16" ht="12.75" customHeight="1" thickBot="1" x14ac:dyDescent="0.25">
      <c r="A31" s="5" t="str">
        <f t="shared" si="0"/>
        <v>OEJV 0074 </v>
      </c>
      <c r="B31" s="2" t="str">
        <f t="shared" si="1"/>
        <v>I</v>
      </c>
      <c r="C31" s="5">
        <f t="shared" si="2"/>
        <v>53833.560599999997</v>
      </c>
      <c r="D31" s="6" t="str">
        <f t="shared" si="3"/>
        <v>vis</v>
      </c>
      <c r="E31" s="17" t="e">
        <f>VLOOKUP(C31,'Active 1'!C$21:E$956,3,FALSE)</f>
        <v>#N/A</v>
      </c>
      <c r="F31" s="2" t="s">
        <v>68</v>
      </c>
      <c r="G31" s="6" t="str">
        <f t="shared" si="4"/>
        <v>53833.5606</v>
      </c>
      <c r="H31" s="5">
        <f t="shared" si="5"/>
        <v>1487</v>
      </c>
      <c r="I31" s="18" t="s">
        <v>113</v>
      </c>
      <c r="J31" s="19" t="s">
        <v>114</v>
      </c>
      <c r="K31" s="18">
        <v>1487</v>
      </c>
      <c r="L31" s="18" t="s">
        <v>115</v>
      </c>
      <c r="M31" s="19" t="s">
        <v>73</v>
      </c>
      <c r="N31" s="19" t="s">
        <v>74</v>
      </c>
      <c r="O31" s="20" t="s">
        <v>75</v>
      </c>
      <c r="P31" s="21" t="s">
        <v>76</v>
      </c>
    </row>
    <row r="32" spans="1:16" ht="12.75" customHeight="1" thickBot="1" x14ac:dyDescent="0.25">
      <c r="A32" s="5" t="str">
        <f t="shared" si="0"/>
        <v>OEJV 0074 </v>
      </c>
      <c r="B32" s="2" t="str">
        <f t="shared" si="1"/>
        <v>II</v>
      </c>
      <c r="C32" s="5">
        <f t="shared" si="2"/>
        <v>53848.351699999999</v>
      </c>
      <c r="D32" s="6" t="str">
        <f t="shared" si="3"/>
        <v>vis</v>
      </c>
      <c r="E32" s="17" t="e">
        <f>VLOOKUP(C32,'Active 1'!C$21:E$956,3,FALSE)</f>
        <v>#N/A</v>
      </c>
      <c r="F32" s="2" t="s">
        <v>68</v>
      </c>
      <c r="G32" s="6" t="str">
        <f t="shared" si="4"/>
        <v>53848.3517</v>
      </c>
      <c r="H32" s="5">
        <f t="shared" si="5"/>
        <v>1503.5</v>
      </c>
      <c r="I32" s="18" t="s">
        <v>116</v>
      </c>
      <c r="J32" s="19" t="s">
        <v>117</v>
      </c>
      <c r="K32" s="18">
        <v>1503.5</v>
      </c>
      <c r="L32" s="18" t="s">
        <v>118</v>
      </c>
      <c r="M32" s="19" t="s">
        <v>73</v>
      </c>
      <c r="N32" s="19" t="s">
        <v>74</v>
      </c>
      <c r="O32" s="20" t="s">
        <v>75</v>
      </c>
      <c r="P32" s="21" t="s">
        <v>76</v>
      </c>
    </row>
    <row r="33" spans="1:16" ht="12.75" customHeight="1" thickBot="1" x14ac:dyDescent="0.25">
      <c r="A33" s="5" t="str">
        <f t="shared" si="0"/>
        <v>OEJV 0074 </v>
      </c>
      <c r="B33" s="2" t="str">
        <f t="shared" si="1"/>
        <v>I</v>
      </c>
      <c r="C33" s="5">
        <f t="shared" si="2"/>
        <v>54171.464099999997</v>
      </c>
      <c r="D33" s="6" t="str">
        <f t="shared" si="3"/>
        <v>vis</v>
      </c>
      <c r="E33" s="17" t="e">
        <f>VLOOKUP(C33,'Active 1'!C$21:E$956,3,FALSE)</f>
        <v>#N/A</v>
      </c>
      <c r="F33" s="2" t="s">
        <v>68</v>
      </c>
      <c r="G33" s="6" t="str">
        <f t="shared" si="4"/>
        <v>54171.4641</v>
      </c>
      <c r="H33" s="5">
        <f t="shared" si="5"/>
        <v>1864</v>
      </c>
      <c r="I33" s="18" t="s">
        <v>119</v>
      </c>
      <c r="J33" s="19" t="s">
        <v>120</v>
      </c>
      <c r="K33" s="18">
        <v>1864</v>
      </c>
      <c r="L33" s="18" t="s">
        <v>121</v>
      </c>
      <c r="M33" s="19" t="s">
        <v>73</v>
      </c>
      <c r="N33" s="19" t="s">
        <v>74</v>
      </c>
      <c r="O33" s="20" t="s">
        <v>75</v>
      </c>
      <c r="P33" s="21" t="s">
        <v>76</v>
      </c>
    </row>
    <row r="34" spans="1:16" ht="12.75" customHeight="1" thickBot="1" x14ac:dyDescent="0.25">
      <c r="A34" s="5" t="str">
        <f t="shared" si="0"/>
        <v>OEJV 0074 </v>
      </c>
      <c r="B34" s="2" t="str">
        <f t="shared" si="1"/>
        <v>I</v>
      </c>
      <c r="C34" s="5">
        <f t="shared" si="2"/>
        <v>54171.464200000002</v>
      </c>
      <c r="D34" s="6" t="str">
        <f t="shared" si="3"/>
        <v>vis</v>
      </c>
      <c r="E34" s="17" t="e">
        <f>VLOOKUP(C34,'Active 1'!C$21:E$956,3,FALSE)</f>
        <v>#N/A</v>
      </c>
      <c r="F34" s="2" t="s">
        <v>68</v>
      </c>
      <c r="G34" s="6" t="str">
        <f t="shared" si="4"/>
        <v>54171.4642</v>
      </c>
      <c r="H34" s="5">
        <f t="shared" si="5"/>
        <v>1864</v>
      </c>
      <c r="I34" s="18" t="s">
        <v>122</v>
      </c>
      <c r="J34" s="19" t="s">
        <v>120</v>
      </c>
      <c r="K34" s="18">
        <v>1864</v>
      </c>
      <c r="L34" s="18" t="s">
        <v>123</v>
      </c>
      <c r="M34" s="19" t="s">
        <v>73</v>
      </c>
      <c r="N34" s="19" t="s">
        <v>39</v>
      </c>
      <c r="O34" s="20" t="s">
        <v>75</v>
      </c>
      <c r="P34" s="21" t="s">
        <v>76</v>
      </c>
    </row>
    <row r="35" spans="1:16" ht="12.75" customHeight="1" thickBot="1" x14ac:dyDescent="0.25">
      <c r="A35" s="5" t="str">
        <f t="shared" si="0"/>
        <v>OEJV 0074 </v>
      </c>
      <c r="B35" s="2" t="str">
        <f t="shared" si="1"/>
        <v>I</v>
      </c>
      <c r="C35" s="5">
        <f t="shared" si="2"/>
        <v>54171.464599999999</v>
      </c>
      <c r="D35" s="6" t="str">
        <f t="shared" si="3"/>
        <v>vis</v>
      </c>
      <c r="E35" s="17" t="e">
        <f>VLOOKUP(C35,'Active 1'!C$21:E$956,3,FALSE)</f>
        <v>#N/A</v>
      </c>
      <c r="F35" s="2" t="s">
        <v>68</v>
      </c>
      <c r="G35" s="6" t="str">
        <f t="shared" si="4"/>
        <v>54171.4646</v>
      </c>
      <c r="H35" s="5">
        <f t="shared" si="5"/>
        <v>1864</v>
      </c>
      <c r="I35" s="18" t="s">
        <v>124</v>
      </c>
      <c r="J35" s="19" t="s">
        <v>125</v>
      </c>
      <c r="K35" s="18">
        <v>1864</v>
      </c>
      <c r="L35" s="18" t="s">
        <v>126</v>
      </c>
      <c r="M35" s="19" t="s">
        <v>73</v>
      </c>
      <c r="N35" s="19" t="s">
        <v>68</v>
      </c>
      <c r="O35" s="20" t="s">
        <v>75</v>
      </c>
      <c r="P35" s="21" t="s">
        <v>76</v>
      </c>
    </row>
    <row r="36" spans="1:16" ht="12.75" customHeight="1" thickBot="1" x14ac:dyDescent="0.25">
      <c r="A36" s="5" t="str">
        <f t="shared" si="0"/>
        <v>OEJV 0074 </v>
      </c>
      <c r="B36" s="2" t="str">
        <f t="shared" si="1"/>
        <v>II</v>
      </c>
      <c r="C36" s="5">
        <f t="shared" si="2"/>
        <v>54202.385999999999</v>
      </c>
      <c r="D36" s="6" t="str">
        <f t="shared" si="3"/>
        <v>vis</v>
      </c>
      <c r="E36" s="17" t="e">
        <f>VLOOKUP(C36,'Active 1'!C$21:E$956,3,FALSE)</f>
        <v>#N/A</v>
      </c>
      <c r="F36" s="2" t="s">
        <v>68</v>
      </c>
      <c r="G36" s="6" t="str">
        <f t="shared" si="4"/>
        <v>54202.3860</v>
      </c>
      <c r="H36" s="5">
        <f t="shared" si="5"/>
        <v>1898.5</v>
      </c>
      <c r="I36" s="18" t="s">
        <v>127</v>
      </c>
      <c r="J36" s="19" t="s">
        <v>128</v>
      </c>
      <c r="K36" s="18">
        <v>1898.5</v>
      </c>
      <c r="L36" s="18" t="s">
        <v>100</v>
      </c>
      <c r="M36" s="19" t="s">
        <v>73</v>
      </c>
      <c r="N36" s="19" t="s">
        <v>74</v>
      </c>
      <c r="O36" s="20" t="s">
        <v>75</v>
      </c>
      <c r="P36" s="21" t="s">
        <v>76</v>
      </c>
    </row>
    <row r="37" spans="1:16" ht="12.75" customHeight="1" thickBot="1" x14ac:dyDescent="0.25">
      <c r="A37" s="5" t="str">
        <f t="shared" si="0"/>
        <v>OEJV 0074 </v>
      </c>
      <c r="B37" s="2" t="str">
        <f t="shared" si="1"/>
        <v>II</v>
      </c>
      <c r="C37" s="5">
        <f t="shared" si="2"/>
        <v>54202.388299999999</v>
      </c>
      <c r="D37" s="6" t="str">
        <f t="shared" si="3"/>
        <v>vis</v>
      </c>
      <c r="E37" s="17" t="e">
        <f>VLOOKUP(C37,'Active 1'!C$21:E$956,3,FALSE)</f>
        <v>#N/A</v>
      </c>
      <c r="F37" s="2" t="s">
        <v>68</v>
      </c>
      <c r="G37" s="6" t="str">
        <f t="shared" si="4"/>
        <v>54202.3883</v>
      </c>
      <c r="H37" s="5">
        <f t="shared" si="5"/>
        <v>1898.5</v>
      </c>
      <c r="I37" s="18" t="s">
        <v>129</v>
      </c>
      <c r="J37" s="19" t="s">
        <v>130</v>
      </c>
      <c r="K37" s="18">
        <v>1898.5</v>
      </c>
      <c r="L37" s="18" t="s">
        <v>131</v>
      </c>
      <c r="M37" s="19" t="s">
        <v>73</v>
      </c>
      <c r="N37" s="19" t="s">
        <v>39</v>
      </c>
      <c r="O37" s="20" t="s">
        <v>75</v>
      </c>
      <c r="P37" s="21" t="s">
        <v>76</v>
      </c>
    </row>
    <row r="38" spans="1:16" ht="12.75" customHeight="1" thickBot="1" x14ac:dyDescent="0.25">
      <c r="A38" s="5" t="str">
        <f t="shared" si="0"/>
        <v>VSB 48 </v>
      </c>
      <c r="B38" s="2" t="str">
        <f t="shared" si="1"/>
        <v>I</v>
      </c>
      <c r="C38" s="5">
        <f t="shared" si="2"/>
        <v>54572.108500000002</v>
      </c>
      <c r="D38" s="6" t="str">
        <f t="shared" si="3"/>
        <v>vis</v>
      </c>
      <c r="E38" s="17">
        <f>VLOOKUP(C38,'Active 1'!C$21:E$956,3,FALSE)</f>
        <v>2310.9994293183122</v>
      </c>
      <c r="F38" s="2" t="s">
        <v>68</v>
      </c>
      <c r="G38" s="6" t="str">
        <f t="shared" si="4"/>
        <v>54572.1085</v>
      </c>
      <c r="H38" s="5">
        <f t="shared" si="5"/>
        <v>2311</v>
      </c>
      <c r="I38" s="18" t="s">
        <v>132</v>
      </c>
      <c r="J38" s="19" t="s">
        <v>133</v>
      </c>
      <c r="K38" s="18">
        <v>2311</v>
      </c>
      <c r="L38" s="18" t="s">
        <v>121</v>
      </c>
      <c r="M38" s="19" t="s">
        <v>73</v>
      </c>
      <c r="N38" s="19" t="s">
        <v>68</v>
      </c>
      <c r="O38" s="20" t="s">
        <v>134</v>
      </c>
      <c r="P38" s="21" t="s">
        <v>135</v>
      </c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</sheetData>
  <phoneticPr fontId="8" type="noConversion"/>
  <hyperlinks>
    <hyperlink ref="P11" r:id="rId1" display="http://var.astro.cz/oejv/issues/oejv0074.pdf" xr:uid="{00000000-0004-0000-0100-000000000000}"/>
    <hyperlink ref="P21" r:id="rId2" display="http://var.astro.cz/oejv/issues/oejv0074.pdf" xr:uid="{00000000-0004-0000-0100-000001000000}"/>
    <hyperlink ref="P22" r:id="rId3" display="http://var.astro.cz/oejv/issues/oejv0074.pdf" xr:uid="{00000000-0004-0000-0100-000002000000}"/>
    <hyperlink ref="P23" r:id="rId4" display="http://var.astro.cz/oejv/issues/oejv0074.pdf" xr:uid="{00000000-0004-0000-0100-000003000000}"/>
    <hyperlink ref="P12" r:id="rId5" display="http://var.astro.cz/oejv/issues/oejv0003.pdf" xr:uid="{00000000-0004-0000-0100-000004000000}"/>
    <hyperlink ref="P24" r:id="rId6" display="http://var.astro.cz/oejv/issues/oejv0074.pdf" xr:uid="{00000000-0004-0000-0100-000005000000}"/>
    <hyperlink ref="P25" r:id="rId7" display="http://var.astro.cz/oejv/issues/oejv0074.pdf" xr:uid="{00000000-0004-0000-0100-000006000000}"/>
    <hyperlink ref="P26" r:id="rId8" display="http://var.astro.cz/oejv/issues/oejv0074.pdf" xr:uid="{00000000-0004-0000-0100-000007000000}"/>
    <hyperlink ref="P27" r:id="rId9" display="http://var.astro.cz/oejv/issues/oejv0074.pdf" xr:uid="{00000000-0004-0000-0100-000008000000}"/>
    <hyperlink ref="P28" r:id="rId10" display="http://var.astro.cz/oejv/issues/oejv0074.pdf" xr:uid="{00000000-0004-0000-0100-000009000000}"/>
    <hyperlink ref="P29" r:id="rId11" display="http://var.astro.cz/oejv/issues/oejv0074.pdf" xr:uid="{00000000-0004-0000-0100-00000A000000}"/>
    <hyperlink ref="P30" r:id="rId12" display="http://var.astro.cz/oejv/issues/oejv0074.pdf" xr:uid="{00000000-0004-0000-0100-00000B000000}"/>
    <hyperlink ref="P31" r:id="rId13" display="http://var.astro.cz/oejv/issues/oejv0074.pdf" xr:uid="{00000000-0004-0000-0100-00000C000000}"/>
    <hyperlink ref="P32" r:id="rId14" display="http://var.astro.cz/oejv/issues/oejv0074.pdf" xr:uid="{00000000-0004-0000-0100-00000D000000}"/>
    <hyperlink ref="P33" r:id="rId15" display="http://var.astro.cz/oejv/issues/oejv0074.pdf" xr:uid="{00000000-0004-0000-0100-00000E000000}"/>
    <hyperlink ref="P34" r:id="rId16" display="http://var.astro.cz/oejv/issues/oejv0074.pdf" xr:uid="{00000000-0004-0000-0100-00000F000000}"/>
    <hyperlink ref="P35" r:id="rId17" display="http://var.astro.cz/oejv/issues/oejv0074.pdf" xr:uid="{00000000-0004-0000-0100-000010000000}"/>
    <hyperlink ref="P36" r:id="rId18" display="http://var.astro.cz/oejv/issues/oejv0074.pdf" xr:uid="{00000000-0004-0000-0100-000011000000}"/>
    <hyperlink ref="P37" r:id="rId19" display="http://var.astro.cz/oejv/issues/oejv0074.pdf" xr:uid="{00000000-0004-0000-0100-000012000000}"/>
    <hyperlink ref="P38" r:id="rId20" display="http://vsolj.cetus-net.org/no48.pdf" xr:uid="{00000000-0004-0000-0100-000013000000}"/>
    <hyperlink ref="P13" r:id="rId21" display="http://www.konkoly.hu/cgi-bin/IBVS?5894" xr:uid="{00000000-0004-0000-0100-000014000000}"/>
    <hyperlink ref="P14" r:id="rId22" display="http://var.astro.cz/oejv/issues/oejv0107.pdf" xr:uid="{00000000-0004-0000-0100-000015000000}"/>
    <hyperlink ref="P15" r:id="rId23" display="http://www.konkoly.hu/cgi-bin/IBVS?5992" xr:uid="{00000000-0004-0000-0100-000016000000}"/>
    <hyperlink ref="P16" r:id="rId24" display="http://www.bav-astro.de/sfs/BAVM_link.php?BAVMnr=220" xr:uid="{00000000-0004-0000-0100-000017000000}"/>
    <hyperlink ref="P17" r:id="rId25" display="http://www.konkoly.hu/cgi-bin/IBVS?6029" xr:uid="{00000000-0004-0000-0100-000018000000}"/>
    <hyperlink ref="P18" r:id="rId26" display="http://www.konkoly.hu/cgi-bin/IBVS?6029" xr:uid="{00000000-0004-0000-0100-000019000000}"/>
    <hyperlink ref="P19" r:id="rId27" display="http://www.konkoly.hu/cgi-bin/IBVS?6092" xr:uid="{00000000-0004-0000-0100-00001A000000}"/>
    <hyperlink ref="P20" r:id="rId28" display="http://var.astro.cz/oejv/issues/oejv0172.pdf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2024-07-27T05:44:55Z</dcterms:modified>
</cp:coreProperties>
</file>