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B4298A4-2FED-48F7-9AEC-D6E67234A81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7" i="1" l="1"/>
  <c r="C8" i="1"/>
  <c r="E24" i="1"/>
  <c r="F24" i="1"/>
  <c r="G24" i="1"/>
  <c r="K24" i="1"/>
  <c r="E25" i="1"/>
  <c r="F25" i="1"/>
  <c r="G25" i="1"/>
  <c r="K25" i="1"/>
  <c r="E26" i="1"/>
  <c r="F26" i="1"/>
  <c r="G26" i="1"/>
  <c r="K26" i="1"/>
  <c r="E27" i="1"/>
  <c r="F27" i="1"/>
  <c r="G27" i="1"/>
  <c r="K27" i="1"/>
  <c r="D9" i="1"/>
  <c r="C9" i="1"/>
  <c r="E22" i="1"/>
  <c r="F22" i="1"/>
  <c r="G22" i="1"/>
  <c r="I22" i="1"/>
  <c r="E23" i="1"/>
  <c r="F23" i="1"/>
  <c r="G23" i="1"/>
  <c r="K23" i="1"/>
  <c r="E21" i="1"/>
  <c r="F21" i="1"/>
  <c r="G21" i="1"/>
  <c r="I21" i="1"/>
  <c r="F16" i="1"/>
  <c r="F17" i="1" s="1"/>
  <c r="Q27" i="1"/>
  <c r="Q23" i="1"/>
  <c r="Q22" i="1"/>
  <c r="Q24" i="1"/>
  <c r="Q26" i="1"/>
  <c r="Q25" i="1"/>
  <c r="C17" i="1"/>
  <c r="Q21" i="1"/>
  <c r="C12" i="1"/>
  <c r="C11" i="1"/>
  <c r="O23" i="1" l="1"/>
  <c r="C15" i="1"/>
  <c r="O21" i="1"/>
  <c r="O26" i="1"/>
  <c r="O22" i="1"/>
  <c r="O27" i="1"/>
  <c r="O24" i="1"/>
  <c r="O25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<sst xmlns="http://schemas.openxmlformats.org/spreadsheetml/2006/main" count="57" uniqueCount="51">
  <si>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</si>
  <si>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</si>
  <si>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</si>
  <si>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</si>
  <si>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</si>
  <si>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</si>
  <si>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</si>
  <si>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</si>
  <si>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</si>
  <si>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</si>
  <si>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</si>
  <si>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</si>
  <si>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</si>
  <si>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</si>
  <si>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</si>
  <si>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</si>
  <si>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</si>
  <si>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</si>
  <si>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</si>
  <si>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</si>
  <si>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</si>
  <si>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</si>
  <si>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</si>
  <si>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</si>
  <si>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</si>
  <si>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</si>
  <si>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</si>
  <si>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</si>
  <si>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</si>
  <si>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</si>
  <si>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</si>
  <si>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</si>
  <si>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</si>
  <si>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</si>
  <si>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</si>
  <si>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 xml:space="preserve">EA/SD     </t>
  </si>
  <si>
    <t>IBVS 5931</t>
  </si>
  <si>
    <t>I</t>
  </si>
  <si>
    <t>IBVS 2185</t>
  </si>
  <si>
    <t>Mallama 1981</t>
  </si>
  <si>
    <t>Mallama 1981PASP...93..77</t>
  </si>
  <si>
    <t>IBVS 1702</t>
  </si>
  <si>
    <t>II</t>
  </si>
  <si>
    <t>JAVSO..44…26</t>
  </si>
  <si>
    <t>Add cycle</t>
  </si>
  <si>
    <t>Old Cycle</t>
  </si>
  <si>
    <t>pg</t>
  </si>
  <si>
    <t>vis</t>
  </si>
  <si>
    <t>PE</t>
  </si>
  <si>
    <t>CCD</t>
  </si>
  <si>
    <t>RW CrA / GSC 7886-1654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</si>
</sst>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3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0" fillId="0" borderId="1" xfId="0" applyBorder="1">
      <alignment vertical="top"/>
    </xf>
    <xf numFmtId="0" fontId="14" fillId="0" borderId="0" xfId="0" applyFont="1" applyAlignment="1"/>
    <xf numFmtId="0" fontId="14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RW Cra - O-C Diagr.</a:t>
            </a:r>
          </a:p>
        </c:rich>
      </c:tx>
      <c:layout>
        <c:manualLayout>
          <c:xMode val="edge"/>
          <c:yMode val="edge"/>
          <c:x val="0.38496240601503762"/>
          <c:y val="3.44826115485564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5047044975517021"/>
          <c:w val="0.81052631578947365"/>
          <c:h val="0.6206906052400771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3">
                    <c:v>4.4999999999999999E-4</c:v>
                  </c:pt>
                  <c:pt idx="5">
                    <c:v>1.1999999999999999E-3</c:v>
                  </c:pt>
                  <c:pt idx="6">
                    <c:v>2.9999999999999997E-4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3">
                    <c:v>4.4999999999999999E-4</c:v>
                  </c:pt>
                  <c:pt idx="5">
                    <c:v>1.1999999999999999E-3</c:v>
                  </c:pt>
                  <c:pt idx="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7314.5</c:v>
                </c:pt>
                <c:pt idx="2">
                  <c:v>7321</c:v>
                </c:pt>
                <c:pt idx="3">
                  <c:v>7970</c:v>
                </c:pt>
                <c:pt idx="4">
                  <c:v>7986</c:v>
                </c:pt>
                <c:pt idx="5">
                  <c:v>13747</c:v>
                </c:pt>
                <c:pt idx="6">
                  <c:v>15570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57-415D-B92F-820185BD569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3">
                    <c:v>4.4999999999999999E-4</c:v>
                  </c:pt>
                  <c:pt idx="5">
                    <c:v>1.1999999999999999E-3</c:v>
                  </c:pt>
                  <c:pt idx="6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3">
                    <c:v>4.4999999999999999E-4</c:v>
                  </c:pt>
                  <c:pt idx="5">
                    <c:v>1.1999999999999999E-3</c:v>
                  </c:pt>
                  <c:pt idx="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7314.5</c:v>
                </c:pt>
                <c:pt idx="2">
                  <c:v>7321</c:v>
                </c:pt>
                <c:pt idx="3">
                  <c:v>7970</c:v>
                </c:pt>
                <c:pt idx="4">
                  <c:v>7986</c:v>
                </c:pt>
                <c:pt idx="5">
                  <c:v>13747</c:v>
                </c:pt>
                <c:pt idx="6">
                  <c:v>15570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0</c:v>
                </c:pt>
                <c:pt idx="1">
                  <c:v>-8.5427500016521662E-3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57-415D-B92F-820185BD569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3">
                    <c:v>4.4999999999999999E-4</c:v>
                  </c:pt>
                  <c:pt idx="5">
                    <c:v>1.1999999999999999E-3</c:v>
                  </c:pt>
                  <c:pt idx="6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3">
                    <c:v>4.4999999999999999E-4</c:v>
                  </c:pt>
                  <c:pt idx="5">
                    <c:v>1.1999999999999999E-3</c:v>
                  </c:pt>
                  <c:pt idx="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7314.5</c:v>
                </c:pt>
                <c:pt idx="2">
                  <c:v>7321</c:v>
                </c:pt>
                <c:pt idx="3">
                  <c:v>7970</c:v>
                </c:pt>
                <c:pt idx="4">
                  <c:v>7986</c:v>
                </c:pt>
                <c:pt idx="5">
                  <c:v>13747</c:v>
                </c:pt>
                <c:pt idx="6">
                  <c:v>15570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B57-415D-B92F-820185BD569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3">
                    <c:v>4.4999999999999999E-4</c:v>
                  </c:pt>
                  <c:pt idx="5">
                    <c:v>1.1999999999999999E-3</c:v>
                  </c:pt>
                  <c:pt idx="6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3">
                    <c:v>4.4999999999999999E-4</c:v>
                  </c:pt>
                  <c:pt idx="5">
                    <c:v>1.1999999999999999E-3</c:v>
                  </c:pt>
                  <c:pt idx="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7314.5</c:v>
                </c:pt>
                <c:pt idx="2">
                  <c:v>7321</c:v>
                </c:pt>
                <c:pt idx="3">
                  <c:v>7970</c:v>
                </c:pt>
                <c:pt idx="4">
                  <c:v>7986</c:v>
                </c:pt>
                <c:pt idx="5">
                  <c:v>13747</c:v>
                </c:pt>
                <c:pt idx="6">
                  <c:v>15570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2">
                  <c:v>-7.7394999971147627E-3</c:v>
                </c:pt>
                <c:pt idx="3">
                  <c:v>9.5349999974132515E-3</c:v>
                </c:pt>
                <c:pt idx="4">
                  <c:v>9.6929999999701977E-3</c:v>
                </c:pt>
                <c:pt idx="5">
                  <c:v>6.7349999881116673E-4</c:v>
                </c:pt>
                <c:pt idx="6">
                  <c:v>4.4849999976577237E-3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B57-415D-B92F-820185BD569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3">
                    <c:v>4.4999999999999999E-4</c:v>
                  </c:pt>
                  <c:pt idx="5">
                    <c:v>1.1999999999999999E-3</c:v>
                  </c:pt>
                  <c:pt idx="6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3">
                    <c:v>4.4999999999999999E-4</c:v>
                  </c:pt>
                  <c:pt idx="5">
                    <c:v>1.1999999999999999E-3</c:v>
                  </c:pt>
                  <c:pt idx="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7314.5</c:v>
                </c:pt>
                <c:pt idx="2">
                  <c:v>7321</c:v>
                </c:pt>
                <c:pt idx="3">
                  <c:v>7970</c:v>
                </c:pt>
                <c:pt idx="4">
                  <c:v>7986</c:v>
                </c:pt>
                <c:pt idx="5">
                  <c:v>13747</c:v>
                </c:pt>
                <c:pt idx="6">
                  <c:v>15570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B57-415D-B92F-820185BD569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3">
                    <c:v>4.4999999999999999E-4</c:v>
                  </c:pt>
                  <c:pt idx="5">
                    <c:v>1.1999999999999999E-3</c:v>
                  </c:pt>
                  <c:pt idx="6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3">
                    <c:v>4.4999999999999999E-4</c:v>
                  </c:pt>
                  <c:pt idx="5">
                    <c:v>1.1999999999999999E-3</c:v>
                  </c:pt>
                  <c:pt idx="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7314.5</c:v>
                </c:pt>
                <c:pt idx="2">
                  <c:v>7321</c:v>
                </c:pt>
                <c:pt idx="3">
                  <c:v>7970</c:v>
                </c:pt>
                <c:pt idx="4">
                  <c:v>7986</c:v>
                </c:pt>
                <c:pt idx="5">
                  <c:v>13747</c:v>
                </c:pt>
                <c:pt idx="6">
                  <c:v>15570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B57-415D-B92F-820185BD569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3">
                    <c:v>4.4999999999999999E-4</c:v>
                  </c:pt>
                  <c:pt idx="5">
                    <c:v>1.1999999999999999E-3</c:v>
                  </c:pt>
                  <c:pt idx="6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3">
                    <c:v>4.4999999999999999E-4</c:v>
                  </c:pt>
                  <c:pt idx="5">
                    <c:v>1.1999999999999999E-3</c:v>
                  </c:pt>
                  <c:pt idx="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7314.5</c:v>
                </c:pt>
                <c:pt idx="2">
                  <c:v>7321</c:v>
                </c:pt>
                <c:pt idx="3">
                  <c:v>7970</c:v>
                </c:pt>
                <c:pt idx="4">
                  <c:v>7986</c:v>
                </c:pt>
                <c:pt idx="5">
                  <c:v>13747</c:v>
                </c:pt>
                <c:pt idx="6">
                  <c:v>15570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B57-415D-B92F-820185BD569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7314.5</c:v>
                </c:pt>
                <c:pt idx="2">
                  <c:v>7321</c:v>
                </c:pt>
                <c:pt idx="3">
                  <c:v>7970</c:v>
                </c:pt>
                <c:pt idx="4">
                  <c:v>7986</c:v>
                </c:pt>
                <c:pt idx="5">
                  <c:v>13747</c:v>
                </c:pt>
                <c:pt idx="6">
                  <c:v>15570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-3.4367125803176964E-3</c:v>
                </c:pt>
                <c:pt idx="1">
                  <c:v>7.0394785105489834E-5</c:v>
                </c:pt>
                <c:pt idx="2">
                  <c:v>7.3511361477798711E-5</c:v>
                </c:pt>
                <c:pt idx="3">
                  <c:v>3.8468952542060385E-4</c:v>
                </c:pt>
                <c:pt idx="4">
                  <c:v>3.923610980293632E-4</c:v>
                </c:pt>
                <c:pt idx="5">
                  <c:v>3.1546067104708123E-3</c:v>
                </c:pt>
                <c:pt idx="6">
                  <c:v>4.0286865145813412E-3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B57-415D-B92F-820185BD56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0044432"/>
        <c:axId val="1"/>
      </c:scatterChart>
      <c:valAx>
        <c:axId val="600044432"/>
        <c:scaling>
          <c:orientation val="minMax"/>
          <c:max val="15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33856955380577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5"/>
          <c:min val="-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66771981627296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0444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458646616541354"/>
          <c:y val="0.918496719160105"/>
          <c:w val="0.67368421052631577"/>
          <c:h val="6.26958661417322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18</xdr:col>
      <xdr:colOff>533400</xdr:colOff>
      <xdr:row>18</xdr:row>
      <xdr:rowOff>114300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76F428A0-5894-A1D0-86C5-923AC4E560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9"/>
  <sheetViews>
    <sheetView tabSelected="1" workbookViewId="0">
      <selection activeCell="E8" sqref="E8:F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5703125" customWidth="1"/>
    <col min="6" max="6" width="16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50</v>
      </c>
    </row>
    <row r="2" spans="1:6" x14ac:dyDescent="0.2">
      <c r="A2" t="s">
        <v>24</v>
      </c>
      <c r="B2" s="27" t="s">
        <v>35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8">
        <v>31017.296999999999</v>
      </c>
      <c r="D4" s="9">
        <v>1.6835994999999999</v>
      </c>
    </row>
    <row r="5" spans="1:6" ht="13.5" thickTop="1" x14ac:dyDescent="0.2">
      <c r="A5" s="11" t="s">
        <v>29</v>
      </c>
      <c r="B5" s="12"/>
      <c r="C5" s="13">
        <v>-9.5</v>
      </c>
      <c r="D5" s="12" t="s">
        <v>30</v>
      </c>
    </row>
    <row r="6" spans="1:6" x14ac:dyDescent="0.2">
      <c r="A6" s="5" t="s">
        <v>1</v>
      </c>
    </row>
    <row r="7" spans="1:6" x14ac:dyDescent="0.2">
      <c r="A7" t="s">
        <v>2</v>
      </c>
      <c r="C7">
        <f>+C4</f>
        <v>31017.296999999999</v>
      </c>
    </row>
    <row r="8" spans="1:6" x14ac:dyDescent="0.2">
      <c r="A8" t="s">
        <v>3</v>
      </c>
      <c r="C8">
        <f>+D4</f>
        <v>1.6835994999999999</v>
      </c>
    </row>
    <row r="9" spans="1:6" x14ac:dyDescent="0.2">
      <c r="A9" s="25" t="s">
        <v>34</v>
      </c>
      <c r="B9" s="26">
        <v>22</v>
      </c>
      <c r="C9" s="23" t="str">
        <f>"F"&amp;B9</f>
        <v>F22</v>
      </c>
      <c r="D9" s="24" t="str">
        <f>"G"&amp;B9</f>
        <v>G22</v>
      </c>
    </row>
    <row r="10" spans="1:6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6" x14ac:dyDescent="0.2">
      <c r="A11" s="12" t="s">
        <v>16</v>
      </c>
      <c r="B11" s="12"/>
      <c r="C11" s="22">
        <f ca="1">INTERCEPT(INDIRECT($D$9):G991,INDIRECT($C$9):F991)</f>
        <v>-3.4367125803176964E-3</v>
      </c>
      <c r="D11" s="3"/>
      <c r="E11" s="12"/>
    </row>
    <row r="12" spans="1:6" x14ac:dyDescent="0.2">
      <c r="A12" s="12" t="s">
        <v>17</v>
      </c>
      <c r="B12" s="12"/>
      <c r="C12" s="22">
        <f ca="1">SLOPE(INDIRECT($D$9):G991,INDIRECT($C$9):F991)</f>
        <v>4.7947328804746551E-7</v>
      </c>
      <c r="D12" s="3"/>
      <c r="E12" s="12"/>
    </row>
    <row r="13" spans="1:6" x14ac:dyDescent="0.2">
      <c r="A13" s="12" t="s">
        <v>19</v>
      </c>
      <c r="B13" s="12"/>
      <c r="C13" s="3" t="s">
        <v>14</v>
      </c>
      <c r="D13" s="3"/>
      <c r="E13" s="12"/>
    </row>
    <row r="14" spans="1:6" x14ac:dyDescent="0.2">
      <c r="A14" s="12"/>
      <c r="B14" s="12"/>
      <c r="C14" s="12"/>
      <c r="D14" s="12"/>
      <c r="E14" s="12"/>
    </row>
    <row r="15" spans="1:6" x14ac:dyDescent="0.2">
      <c r="A15" s="14" t="s">
        <v>18</v>
      </c>
      <c r="B15" s="12"/>
      <c r="C15" s="15">
        <f ca="1">(C7+C11)+(C8+C12)*INT(MAX(F21:F3532))</f>
        <v>57230.94524368651</v>
      </c>
      <c r="D15" s="16" t="s">
        <v>31</v>
      </c>
      <c r="E15" s="16" t="s">
        <v>44</v>
      </c>
      <c r="F15" s="13">
        <v>1</v>
      </c>
    </row>
    <row r="16" spans="1:6" x14ac:dyDescent="0.2">
      <c r="A16" s="17" t="s">
        <v>4</v>
      </c>
      <c r="B16" s="12"/>
      <c r="C16" s="18">
        <f ca="1">+C8+C12</f>
        <v>1.6835999794732879</v>
      </c>
      <c r="D16" s="16" t="s">
        <v>32</v>
      </c>
      <c r="E16" s="16" t="s">
        <v>31</v>
      </c>
      <c r="F16" s="22">
        <f ca="1">NOW()+15018.5+$C$5/24</f>
        <v>60339.662319791663</v>
      </c>
    </row>
    <row r="17" spans="1:18" ht="13.5" thickBot="1" x14ac:dyDescent="0.25">
      <c r="A17" s="16" t="s">
        <v>28</v>
      </c>
      <c r="B17" s="12"/>
      <c r="C17" s="12">
        <f>COUNT(C21:C2190)</f>
        <v>7</v>
      </c>
      <c r="D17" s="16" t="s">
        <v>33</v>
      </c>
      <c r="E17" s="16" t="s">
        <v>45</v>
      </c>
      <c r="F17" s="22">
        <f ca="1">ROUND(2*(F16-$C$7)/$C$8,0)/2+F15</f>
        <v>17417.5</v>
      </c>
    </row>
    <row r="18" spans="1:18" ht="14.25" thickTop="1" thickBot="1" x14ac:dyDescent="0.25">
      <c r="A18" s="17" t="s">
        <v>5</v>
      </c>
      <c r="B18" s="12"/>
      <c r="C18" s="20">
        <f ca="1">+C15</f>
        <v>57230.94524368651</v>
      </c>
      <c r="D18" s="21">
        <f ca="1">+C16</f>
        <v>1.6835999794732879</v>
      </c>
      <c r="E18" s="16" t="s">
        <v>32</v>
      </c>
      <c r="F18" s="24">
        <f ca="1">ROUND(2*(F16-$C$15)/$C$16,0)/2+F15</f>
        <v>1847.5</v>
      </c>
    </row>
    <row r="19" spans="1:18" ht="13.5" thickTop="1" x14ac:dyDescent="0.2">
      <c r="E19" s="16" t="s">
        <v>33</v>
      </c>
      <c r="F19" s="19">
        <f ca="1">+$C$15+$C$16*F18-15018.5-$C$5/24</f>
        <v>45323.292039096748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46</v>
      </c>
      <c r="I20" s="7" t="s">
        <v>47</v>
      </c>
      <c r="J20" s="7" t="s">
        <v>48</v>
      </c>
      <c r="K20" s="7" t="s">
        <v>49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</row>
    <row r="21" spans="1:18" x14ac:dyDescent="0.2">
      <c r="A21" s="28" t="s">
        <v>12</v>
      </c>
      <c r="B21" s="28"/>
      <c r="C21" s="29">
        <v>31017.296999999999</v>
      </c>
      <c r="D21" s="29"/>
      <c r="E21" s="28">
        <f t="shared" ref="E21:E27" si="0">+(C21-C$7)/C$8</f>
        <v>0</v>
      </c>
      <c r="F21" s="28">
        <f t="shared" ref="F21:F27" si="1">ROUND(2*E21,0)/2</f>
        <v>0</v>
      </c>
      <c r="G21" s="28">
        <f t="shared" ref="G21:G27" si="2">+C21-(C$7+F21*C$8)</f>
        <v>0</v>
      </c>
      <c r="I21">
        <f>+G21</f>
        <v>0</v>
      </c>
      <c r="O21">
        <f t="shared" ref="O21:O27" ca="1" si="3">+C$11+C$12*$F21</f>
        <v>-3.4367125803176964E-3</v>
      </c>
      <c r="Q21" s="2">
        <f t="shared" ref="Q21:Q27" si="4">+C21-15018.5</f>
        <v>15998.796999999999</v>
      </c>
    </row>
    <row r="22" spans="1:18" x14ac:dyDescent="0.2">
      <c r="A22" s="33" t="s">
        <v>41</v>
      </c>
      <c r="B22" s="34" t="s">
        <v>42</v>
      </c>
      <c r="C22" s="33">
        <v>43331.976999999999</v>
      </c>
      <c r="D22" s="35"/>
      <c r="E22" s="28">
        <f t="shared" si="0"/>
        <v>7314.494925901321</v>
      </c>
      <c r="F22" s="28">
        <f t="shared" si="1"/>
        <v>7314.5</v>
      </c>
      <c r="G22" s="28">
        <f t="shared" si="2"/>
        <v>-8.5427500016521662E-3</v>
      </c>
      <c r="I22">
        <f>+G22</f>
        <v>-8.5427500016521662E-3</v>
      </c>
      <c r="O22">
        <f t="shared" ca="1" si="3"/>
        <v>7.0394785105489834E-5</v>
      </c>
      <c r="Q22" s="2">
        <f t="shared" si="4"/>
        <v>28313.476999999999</v>
      </c>
    </row>
    <row r="23" spans="1:18" x14ac:dyDescent="0.2">
      <c r="A23" s="33" t="s">
        <v>41</v>
      </c>
      <c r="B23" s="34" t="s">
        <v>37</v>
      </c>
      <c r="C23" s="33">
        <v>43342.921199999997</v>
      </c>
      <c r="D23" s="35"/>
      <c r="E23" s="28">
        <f t="shared" si="0"/>
        <v>7320.995403004099</v>
      </c>
      <c r="F23" s="28">
        <f t="shared" si="1"/>
        <v>7321</v>
      </c>
      <c r="G23" s="28">
        <f t="shared" si="2"/>
        <v>-7.7394999971147627E-3</v>
      </c>
      <c r="K23">
        <f>+G23</f>
        <v>-7.7394999971147627E-3</v>
      </c>
      <c r="O23">
        <f t="shared" ca="1" si="3"/>
        <v>7.3511361477798711E-5</v>
      </c>
      <c r="Q23" s="2">
        <f t="shared" si="4"/>
        <v>28324.421199999997</v>
      </c>
    </row>
    <row r="24" spans="1:18" x14ac:dyDescent="0.2">
      <c r="A24" s="28" t="s">
        <v>39</v>
      </c>
      <c r="B24" s="28"/>
      <c r="C24" s="29">
        <v>44435.594549999994</v>
      </c>
      <c r="D24" s="29">
        <v>4.4999999999999999E-4</v>
      </c>
      <c r="E24" s="28">
        <f t="shared" si="0"/>
        <v>7970.0056634609336</v>
      </c>
      <c r="F24" s="28">
        <f t="shared" si="1"/>
        <v>7970</v>
      </c>
      <c r="G24" s="28">
        <f t="shared" si="2"/>
        <v>9.5349999974132515E-3</v>
      </c>
      <c r="K24">
        <f>+G24</f>
        <v>9.5349999974132515E-3</v>
      </c>
      <c r="O24">
        <f t="shared" ca="1" si="3"/>
        <v>3.8468952542060385E-4</v>
      </c>
      <c r="Q24" s="2">
        <f t="shared" si="4"/>
        <v>29417.094549999994</v>
      </c>
      <c r="R24" t="s">
        <v>40</v>
      </c>
    </row>
    <row r="25" spans="1:18" x14ac:dyDescent="0.2">
      <c r="A25" s="28" t="s">
        <v>38</v>
      </c>
      <c r="B25" s="28"/>
      <c r="C25" s="29">
        <v>44462.532299999999</v>
      </c>
      <c r="D25" s="29"/>
      <c r="E25" s="28">
        <f t="shared" si="0"/>
        <v>7986.0057573074837</v>
      </c>
      <c r="F25" s="28">
        <f t="shared" si="1"/>
        <v>7986</v>
      </c>
      <c r="G25" s="28">
        <f t="shared" si="2"/>
        <v>9.6929999999701977E-3</v>
      </c>
      <c r="K25">
        <f>+G25</f>
        <v>9.6929999999701977E-3</v>
      </c>
      <c r="O25">
        <f t="shared" ca="1" si="3"/>
        <v>3.923610980293632E-4</v>
      </c>
      <c r="Q25" s="2">
        <f t="shared" si="4"/>
        <v>29444.032299999999</v>
      </c>
    </row>
    <row r="26" spans="1:18" x14ac:dyDescent="0.2">
      <c r="A26" s="30" t="s">
        <v>36</v>
      </c>
      <c r="B26" s="31" t="s">
        <v>37</v>
      </c>
      <c r="C26" s="32">
        <v>54161.74</v>
      </c>
      <c r="D26" s="32">
        <v>1.1999999999999999E-3</v>
      </c>
      <c r="E26" s="28">
        <f t="shared" si="0"/>
        <v>13747.000400035757</v>
      </c>
      <c r="F26" s="28">
        <f t="shared" si="1"/>
        <v>13747</v>
      </c>
      <c r="G26" s="28">
        <f t="shared" si="2"/>
        <v>6.7349999881116673E-4</v>
      </c>
      <c r="K26">
        <f>+G26</f>
        <v>6.7349999881116673E-4</v>
      </c>
      <c r="O26">
        <f t="shared" ca="1" si="3"/>
        <v>3.1546067104708123E-3</v>
      </c>
      <c r="Q26" s="2">
        <f t="shared" si="4"/>
        <v>39143.24</v>
      </c>
    </row>
    <row r="27" spans="1:18" x14ac:dyDescent="0.2">
      <c r="A27" s="36" t="s">
        <v>43</v>
      </c>
      <c r="B27" s="37" t="s">
        <v>37</v>
      </c>
      <c r="C27" s="38">
        <v>57230.945699999997</v>
      </c>
      <c r="D27" s="38">
        <v>2.9999999999999997E-4</v>
      </c>
      <c r="E27" s="28">
        <f t="shared" si="0"/>
        <v>15570.002663935216</v>
      </c>
      <c r="F27" s="28">
        <f t="shared" si="1"/>
        <v>15570</v>
      </c>
      <c r="G27" s="28">
        <f t="shared" si="2"/>
        <v>4.4849999976577237E-3</v>
      </c>
      <c r="K27">
        <f>+G27</f>
        <v>4.4849999976577237E-3</v>
      </c>
      <c r="O27">
        <f t="shared" ca="1" si="3"/>
        <v>4.0286865145813412E-3</v>
      </c>
      <c r="Q27" s="2">
        <f t="shared" si="4"/>
        <v>42212.445699999997</v>
      </c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2024-01-30T02:53:44Z</dcterms:modified>
</cp:coreProperties>
</file>