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51EB75-8D25-4BD2-AA84-0A3B645A60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23" i="1" l="1"/>
  <c r="G23" i="1" s="1"/>
  <c r="K23" i="1" s="1"/>
  <c r="E23" i="1"/>
  <c r="Q23" i="1"/>
  <c r="F14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Q82" i="1"/>
  <c r="Q83" i="1"/>
  <c r="Q84" i="1"/>
  <c r="Q85" i="1"/>
  <c r="Q86" i="1"/>
  <c r="Q87" i="1"/>
  <c r="Q88" i="1"/>
  <c r="Q89" i="1"/>
  <c r="Q90" i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Q95" i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Q94" i="1"/>
  <c r="E75" i="1"/>
  <c r="F75" i="1" s="1"/>
  <c r="G75" i="1" s="1"/>
  <c r="K75" i="1" s="1"/>
  <c r="Q70" i="1"/>
  <c r="Q71" i="1"/>
  <c r="Q73" i="1"/>
  <c r="Q74" i="1"/>
  <c r="Q72" i="1"/>
  <c r="Q78" i="1"/>
  <c r="Q79" i="1"/>
  <c r="Q80" i="1"/>
  <c r="Q81" i="1"/>
  <c r="Q75" i="1"/>
  <c r="Q76" i="1"/>
  <c r="Q77" i="1"/>
  <c r="Q67" i="1"/>
  <c r="Q68" i="1"/>
  <c r="Q69" i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62" i="1"/>
  <c r="Q63" i="1"/>
  <c r="Q64" i="1"/>
  <c r="Q65" i="1"/>
  <c r="Q66" i="1"/>
  <c r="G54" i="2"/>
  <c r="C54" i="2"/>
  <c r="G53" i="2"/>
  <c r="C53" i="2"/>
  <c r="G52" i="2"/>
  <c r="C52" i="2"/>
  <c r="G51" i="2"/>
  <c r="C51" i="2"/>
  <c r="G50" i="2"/>
  <c r="C50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42" i="1"/>
  <c r="C17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E82" i="1"/>
  <c r="F82" i="1" s="1"/>
  <c r="G82" i="1" s="1"/>
  <c r="K82" i="1" s="1"/>
  <c r="Q41" i="1"/>
  <c r="E53" i="1"/>
  <c r="E22" i="2" s="1"/>
  <c r="E46" i="1"/>
  <c r="F46" i="1" s="1"/>
  <c r="G46" i="1" s="1"/>
  <c r="K46" i="1" s="1"/>
  <c r="E39" i="1"/>
  <c r="E48" i="2" s="1"/>
  <c r="E31" i="1"/>
  <c r="F31" i="1" s="1"/>
  <c r="G31" i="1" s="1"/>
  <c r="I31" i="1" s="1"/>
  <c r="E27" i="1"/>
  <c r="E36" i="2" s="1"/>
  <c r="E22" i="1"/>
  <c r="F22" i="1" s="1"/>
  <c r="G22" i="1" s="1"/>
  <c r="I22" i="1" s="1"/>
  <c r="E65" i="1"/>
  <c r="E53" i="2" s="1"/>
  <c r="E63" i="1"/>
  <c r="E51" i="2" s="1"/>
  <c r="E61" i="1"/>
  <c r="F61" i="1" s="1"/>
  <c r="G61" i="1" s="1"/>
  <c r="K61" i="1" s="1"/>
  <c r="E49" i="1"/>
  <c r="E18" i="2" s="1"/>
  <c r="E45" i="1"/>
  <c r="F45" i="1" s="1"/>
  <c r="G45" i="1" s="1"/>
  <c r="K45" i="1" s="1"/>
  <c r="E56" i="1"/>
  <c r="E25" i="2" s="1"/>
  <c r="E52" i="1"/>
  <c r="E21" i="2" s="1"/>
  <c r="E33" i="1"/>
  <c r="F33" i="1" s="1"/>
  <c r="G33" i="1" s="1"/>
  <c r="I33" i="1" s="1"/>
  <c r="E25" i="1"/>
  <c r="F25" i="1" s="1"/>
  <c r="G25" i="1" s="1"/>
  <c r="I25" i="1" s="1"/>
  <c r="E47" i="1"/>
  <c r="F47" i="1" s="1"/>
  <c r="G47" i="1" s="1"/>
  <c r="K47" i="1" s="1"/>
  <c r="E43" i="1"/>
  <c r="F43" i="1" s="1"/>
  <c r="G43" i="1" s="1"/>
  <c r="K43" i="1" s="1"/>
  <c r="E36" i="1"/>
  <c r="E45" i="2" s="1"/>
  <c r="E28" i="1"/>
  <c r="E37" i="2" s="1"/>
  <c r="E58" i="1"/>
  <c r="F58" i="1" s="1"/>
  <c r="G58" i="1" s="1"/>
  <c r="K58" i="1" s="1"/>
  <c r="E14" i="2"/>
  <c r="E40" i="2"/>
  <c r="E69" i="1"/>
  <c r="F69" i="1" s="1"/>
  <c r="G69" i="1" s="1"/>
  <c r="K69" i="1" s="1"/>
  <c r="E66" i="1"/>
  <c r="F66" i="1" s="1"/>
  <c r="G66" i="1" s="1"/>
  <c r="K66" i="1" s="1"/>
  <c r="E81" i="1"/>
  <c r="F81" i="1" s="1"/>
  <c r="G81" i="1" s="1"/>
  <c r="K81" i="1" s="1"/>
  <c r="E72" i="1"/>
  <c r="F72" i="1" s="1"/>
  <c r="U72" i="1" s="1"/>
  <c r="E24" i="1"/>
  <c r="F24" i="1" s="1"/>
  <c r="G24" i="1" s="1"/>
  <c r="I24" i="1" s="1"/>
  <c r="E40" i="1"/>
  <c r="F40" i="1" s="1"/>
  <c r="G40" i="1" s="1"/>
  <c r="K40" i="1" s="1"/>
  <c r="E59" i="1"/>
  <c r="E28" i="2" s="1"/>
  <c r="E30" i="1"/>
  <c r="F30" i="1" s="1"/>
  <c r="G30" i="1" s="1"/>
  <c r="I30" i="1" s="1"/>
  <c r="E57" i="1"/>
  <c r="F57" i="1" s="1"/>
  <c r="G57" i="1" s="1"/>
  <c r="K57" i="1" s="1"/>
  <c r="E35" i="1"/>
  <c r="E44" i="2" s="1"/>
  <c r="E50" i="1"/>
  <c r="E19" i="2" s="1"/>
  <c r="E70" i="1"/>
  <c r="F70" i="1" s="1"/>
  <c r="U70" i="1" s="1"/>
  <c r="E32" i="1"/>
  <c r="F32" i="1" s="1"/>
  <c r="G32" i="1" s="1"/>
  <c r="I32" i="1" s="1"/>
  <c r="E41" i="1"/>
  <c r="F41" i="1" s="1"/>
  <c r="G41" i="1" s="1"/>
  <c r="H41" i="1" s="1"/>
  <c r="E64" i="1"/>
  <c r="F64" i="1" s="1"/>
  <c r="G64" i="1" s="1"/>
  <c r="K64" i="1" s="1"/>
  <c r="E38" i="1"/>
  <c r="F38" i="1" s="1"/>
  <c r="U38" i="1" s="1"/>
  <c r="E54" i="1"/>
  <c r="E23" i="2" s="1"/>
  <c r="E48" i="1"/>
  <c r="F48" i="1" s="1"/>
  <c r="G48" i="1" s="1"/>
  <c r="K48" i="1" s="1"/>
  <c r="E68" i="1"/>
  <c r="F68" i="1" s="1"/>
  <c r="G68" i="1" s="1"/>
  <c r="K68" i="1" s="1"/>
  <c r="E77" i="1"/>
  <c r="F77" i="1" s="1"/>
  <c r="G77" i="1" s="1"/>
  <c r="K77" i="1" s="1"/>
  <c r="E80" i="1"/>
  <c r="F80" i="1" s="1"/>
  <c r="G80" i="1" s="1"/>
  <c r="K80" i="1" s="1"/>
  <c r="E74" i="1"/>
  <c r="F74" i="1" s="1"/>
  <c r="U74" i="1" s="1"/>
  <c r="E62" i="1"/>
  <c r="E50" i="2" s="1"/>
  <c r="E29" i="1"/>
  <c r="F29" i="1" s="1"/>
  <c r="G29" i="1" s="1"/>
  <c r="I29" i="1" s="1"/>
  <c r="E37" i="1"/>
  <c r="E46" i="2" s="1"/>
  <c r="E44" i="1"/>
  <c r="F44" i="1" s="1"/>
  <c r="G44" i="1" s="1"/>
  <c r="K44" i="1" s="1"/>
  <c r="E76" i="1"/>
  <c r="F76" i="1" s="1"/>
  <c r="G76" i="1" s="1"/>
  <c r="K76" i="1" s="1"/>
  <c r="E79" i="1"/>
  <c r="F79" i="1" s="1"/>
  <c r="G79" i="1" s="1"/>
  <c r="K79" i="1" s="1"/>
  <c r="E73" i="1"/>
  <c r="F73" i="1" s="1"/>
  <c r="G73" i="1" s="1"/>
  <c r="K73" i="1" s="1"/>
  <c r="E51" i="1"/>
  <c r="F51" i="1" s="1"/>
  <c r="G51" i="1" s="1"/>
  <c r="K51" i="1" s="1"/>
  <c r="E60" i="1"/>
  <c r="F60" i="1" s="1"/>
  <c r="G60" i="1" s="1"/>
  <c r="K60" i="1" s="1"/>
  <c r="E26" i="1"/>
  <c r="F26" i="1" s="1"/>
  <c r="G26" i="1" s="1"/>
  <c r="I26" i="1" s="1"/>
  <c r="E34" i="1"/>
  <c r="F34" i="1" s="1"/>
  <c r="G34" i="1" s="1"/>
  <c r="I34" i="1" s="1"/>
  <c r="E55" i="1"/>
  <c r="E24" i="2" s="1"/>
  <c r="E21" i="1"/>
  <c r="F21" i="1" s="1"/>
  <c r="G21" i="1" s="1"/>
  <c r="I21" i="1" s="1"/>
  <c r="E42" i="1"/>
  <c r="F42" i="1" s="1"/>
  <c r="G42" i="1" s="1"/>
  <c r="K42" i="1" s="1"/>
  <c r="E67" i="1"/>
  <c r="F67" i="1" s="1"/>
  <c r="G67" i="1" s="1"/>
  <c r="K67" i="1" s="1"/>
  <c r="E33" i="2"/>
  <c r="F62" i="1" l="1"/>
  <c r="G62" i="1" s="1"/>
  <c r="K62" i="1" s="1"/>
  <c r="F27" i="1"/>
  <c r="G27" i="1" s="1"/>
  <c r="I27" i="1" s="1"/>
  <c r="E32" i="2"/>
  <c r="E47" i="2"/>
  <c r="E39" i="2"/>
  <c r="E13" i="2"/>
  <c r="E20" i="2"/>
  <c r="F35" i="1"/>
  <c r="G35" i="1" s="1"/>
  <c r="I35" i="1" s="1"/>
  <c r="E54" i="2"/>
  <c r="E17" i="2"/>
  <c r="E30" i="2"/>
  <c r="E29" i="2"/>
  <c r="E42" i="2"/>
  <c r="F56" i="1"/>
  <c r="G56" i="1" s="1"/>
  <c r="K56" i="1" s="1"/>
  <c r="E49" i="2"/>
  <c r="E11" i="2"/>
  <c r="E27" i="2"/>
  <c r="F50" i="1"/>
  <c r="G50" i="1" s="1"/>
  <c r="K50" i="1" s="1"/>
  <c r="F37" i="1"/>
  <c r="G37" i="1" s="1"/>
  <c r="K37" i="1" s="1"/>
  <c r="F65" i="1"/>
  <c r="G65" i="1" s="1"/>
  <c r="K65" i="1" s="1"/>
  <c r="F15" i="1"/>
  <c r="E78" i="1"/>
  <c r="F78" i="1" s="1"/>
  <c r="G78" i="1" s="1"/>
  <c r="K78" i="1" s="1"/>
  <c r="E89" i="1"/>
  <c r="F89" i="1" s="1"/>
  <c r="G89" i="1" s="1"/>
  <c r="K89" i="1" s="1"/>
  <c r="E85" i="1"/>
  <c r="F85" i="1" s="1"/>
  <c r="G85" i="1" s="1"/>
  <c r="K85" i="1" s="1"/>
  <c r="E34" i="2"/>
  <c r="F49" i="1"/>
  <c r="G49" i="1" s="1"/>
  <c r="K49" i="1" s="1"/>
  <c r="E71" i="1"/>
  <c r="F71" i="1" s="1"/>
  <c r="U71" i="1" s="1"/>
  <c r="E88" i="1"/>
  <c r="F88" i="1" s="1"/>
  <c r="G88" i="1" s="1"/>
  <c r="K88" i="1" s="1"/>
  <c r="E84" i="1"/>
  <c r="F84" i="1" s="1"/>
  <c r="G84" i="1" s="1"/>
  <c r="K84" i="1" s="1"/>
  <c r="E38" i="2"/>
  <c r="E15" i="2"/>
  <c r="E16" i="2"/>
  <c r="E102" i="1"/>
  <c r="F102" i="1" s="1"/>
  <c r="G102" i="1" s="1"/>
  <c r="K102" i="1" s="1"/>
  <c r="E91" i="1"/>
  <c r="F91" i="1" s="1"/>
  <c r="G91" i="1" s="1"/>
  <c r="K91" i="1" s="1"/>
  <c r="E26" i="2"/>
  <c r="E94" i="1"/>
  <c r="F94" i="1" s="1"/>
  <c r="G94" i="1" s="1"/>
  <c r="K94" i="1" s="1"/>
  <c r="E87" i="1"/>
  <c r="F87" i="1" s="1"/>
  <c r="G87" i="1" s="1"/>
  <c r="K87" i="1" s="1"/>
  <c r="E83" i="1"/>
  <c r="F83" i="1" s="1"/>
  <c r="G83" i="1" s="1"/>
  <c r="K83" i="1" s="1"/>
  <c r="F52" i="1"/>
  <c r="G52" i="1" s="1"/>
  <c r="K52" i="1" s="1"/>
  <c r="E95" i="1"/>
  <c r="F95" i="1" s="1"/>
  <c r="G95" i="1" s="1"/>
  <c r="K95" i="1" s="1"/>
  <c r="E90" i="1"/>
  <c r="F90" i="1" s="1"/>
  <c r="G90" i="1" s="1"/>
  <c r="K90" i="1" s="1"/>
  <c r="F36" i="1"/>
  <c r="G36" i="1" s="1"/>
  <c r="I36" i="1" s="1"/>
  <c r="E86" i="1"/>
  <c r="F86" i="1" s="1"/>
  <c r="G86" i="1" s="1"/>
  <c r="K86" i="1" s="1"/>
  <c r="E43" i="2"/>
  <c r="E41" i="2"/>
  <c r="E52" i="2"/>
  <c r="E35" i="2"/>
  <c r="E31" i="2"/>
  <c r="F54" i="1"/>
  <c r="G54" i="1" s="1"/>
  <c r="K54" i="1" s="1"/>
  <c r="F39" i="1"/>
  <c r="G39" i="1" s="1"/>
  <c r="K39" i="1" s="1"/>
  <c r="F53" i="1"/>
  <c r="G53" i="1" s="1"/>
  <c r="K53" i="1" s="1"/>
  <c r="E12" i="2"/>
  <c r="F55" i="1"/>
  <c r="G55" i="1" s="1"/>
  <c r="K55" i="1" s="1"/>
  <c r="F28" i="1"/>
  <c r="G28" i="1" s="1"/>
  <c r="I28" i="1" s="1"/>
  <c r="F63" i="1"/>
  <c r="G63" i="1" s="1"/>
  <c r="K63" i="1" s="1"/>
  <c r="F59" i="1"/>
  <c r="G59" i="1" s="1"/>
  <c r="K59" i="1" s="1"/>
  <c r="C11" i="1"/>
  <c r="C12" i="1"/>
  <c r="O23" i="1" l="1"/>
  <c r="O98" i="1"/>
  <c r="O97" i="1"/>
  <c r="O101" i="1"/>
  <c r="O96" i="1"/>
  <c r="O100" i="1"/>
  <c r="O99" i="1"/>
  <c r="O83" i="1"/>
  <c r="O104" i="1"/>
  <c r="O66" i="1"/>
  <c r="O81" i="1"/>
  <c r="O79" i="1"/>
  <c r="O77" i="1"/>
  <c r="O58" i="1"/>
  <c r="O61" i="1"/>
  <c r="O60" i="1"/>
  <c r="O74" i="1"/>
  <c r="O87" i="1"/>
  <c r="O103" i="1"/>
  <c r="O63" i="1"/>
  <c r="O78" i="1"/>
  <c r="O64" i="1"/>
  <c r="O82" i="1"/>
  <c r="O86" i="1"/>
  <c r="O91" i="1"/>
  <c r="O93" i="1"/>
  <c r="O68" i="1"/>
  <c r="O73" i="1"/>
  <c r="O55" i="1"/>
  <c r="O65" i="1"/>
  <c r="O84" i="1"/>
  <c r="O95" i="1"/>
  <c r="C15" i="1"/>
  <c r="O76" i="1"/>
  <c r="O80" i="1"/>
  <c r="O67" i="1"/>
  <c r="O94" i="1"/>
  <c r="O88" i="1"/>
  <c r="O85" i="1"/>
  <c r="O72" i="1"/>
  <c r="O57" i="1"/>
  <c r="O69" i="1"/>
  <c r="O75" i="1"/>
  <c r="O92" i="1"/>
  <c r="O102" i="1"/>
  <c r="O89" i="1"/>
  <c r="O90" i="1"/>
  <c r="O62" i="1"/>
  <c r="O56" i="1"/>
  <c r="O70" i="1"/>
  <c r="O71" i="1"/>
  <c r="O52" i="1"/>
  <c r="C16" i="1"/>
  <c r="D18" i="1" s="1"/>
  <c r="O53" i="1"/>
  <c r="O59" i="1"/>
  <c r="O5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<sst xmlns="http://schemas.openxmlformats.org/spreadsheetml/2006/main" count="644" uniqueCount="245">
  <si>
    <t>OEJV 0181</t>
  </si>
  <si>
    <t>BAD?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</si>
  <si>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</si>
  <si>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</si>
  <si>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</si>
  <si>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</si>
  <si>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</si>
  <si>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</si>
  <si>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</si>
  <si>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</si>
  <si>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</si>
  <si>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</si>
  <si>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</si>
  <si>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</si>
  <si>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</si>
  <si>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</si>
  <si>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</si>
  <si>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</si>
  <si>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</si>
  <si>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</si>
  <si>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</si>
  <si>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</si>
  <si>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</si>
  <si>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</si>
  <si>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</si>
  <si>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</si>
  <si>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</si>
  <si>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</si>
  <si>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</si>
  <si>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</si>
  <si>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</si>
  <si>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</si>
  <si>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</si>
  <si>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</si>
  <si>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</si>
  <si>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</si>
  <si>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</si>
  <si>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SX Crv / GSC 6107-0748               </t>
  </si>
  <si>
    <t>EW/KW</t>
  </si>
  <si>
    <t>IBVS 5843</t>
  </si>
  <si>
    <t>II</t>
  </si>
  <si>
    <t>Add cycle</t>
  </si>
  <si>
    <t>Old Cycle</t>
  </si>
  <si>
    <t>IBVS 5603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</si>
  <si>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</si>
  <si>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</si>
  <si>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</si>
  <si>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</si>
  <si>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</si>
  <si>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</si>
  <si>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</si>
  <si>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</si>
  <si>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</si>
  <si>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</si>
  <si>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</si>
  <si>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</si>
  <si>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</si>
  <si>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2441014.288 </t>
  </si>
  <si>
    <t> 03.03.1971 18:54 </t>
  </si>
  <si>
    <t> -0.001 </t>
  </si>
  <si>
    <t>E </t>
  </si>
  <si>
    <t>?</t>
  </si>
  <si>
    <t> N.B.Sanwal et al. </t>
  </si>
  <si>
    <t> AAPS 13.87 </t>
  </si>
  <si>
    <t>2441017.297 </t>
  </si>
  <si>
    <t> 06.03.1971 19:07 </t>
  </si>
  <si>
    <t> -0.000 </t>
  </si>
  <si>
    <t>2441017.458 </t>
  </si>
  <si>
    <t> 06.03.1971 22:59 </t>
  </si>
  <si>
    <t> 0.002 </t>
  </si>
  <si>
    <t>2441028.378 </t>
  </si>
  <si>
    <t> 17.03.1971 21:04 </t>
  </si>
  <si>
    <t> -0.002 </t>
  </si>
  <si>
    <t>2441029.330 </t>
  </si>
  <si>
    <t> 18.03.1971 19:55 </t>
  </si>
  <si>
    <t> 0.000 </t>
  </si>
  <si>
    <t>2441034.398 </t>
  </si>
  <si>
    <t> 23.03.1971 21:33 </t>
  </si>
  <si>
    <t>2441037.252 </t>
  </si>
  <si>
    <t> 26.03.1971 18:02 </t>
  </si>
  <si>
    <t> 0.006 </t>
  </si>
  <si>
    <t>2441037.399 </t>
  </si>
  <si>
    <t> 26.03.1971 21:34 </t>
  </si>
  <si>
    <t> -0.005 </t>
  </si>
  <si>
    <t>2441040.251 </t>
  </si>
  <si>
    <t> 29.03.1971 18:01 </t>
  </si>
  <si>
    <t>2441040.409 </t>
  </si>
  <si>
    <t> 29.03.1971 21:48 </t>
  </si>
  <si>
    <t>2441041.361 </t>
  </si>
  <si>
    <t> 30.03.1971 20:39 </t>
  </si>
  <si>
    <t>2441044.213 </t>
  </si>
  <si>
    <t> 02.04.1971 17:06 </t>
  </si>
  <si>
    <t> 0.001 </t>
  </si>
  <si>
    <t>2441369.398 </t>
  </si>
  <si>
    <t> 21.02.1972 21:33 </t>
  </si>
  <si>
    <t>2441412.305 </t>
  </si>
  <si>
    <t> 04.04.1972 19:19 </t>
  </si>
  <si>
    <t>2441436.212 </t>
  </si>
  <si>
    <t> 28.04.1972 17:05 </t>
  </si>
  <si>
    <t>2449459.082 </t>
  </si>
  <si>
    <t> 16.04.1994 13:58 </t>
  </si>
  <si>
    <t> 0.041 </t>
  </si>
  <si>
    <t> K.Nagai </t>
  </si>
  <si>
    <t>VSB 47 </t>
  </si>
  <si>
    <t>2450562.994 </t>
  </si>
  <si>
    <t> 24.04.1997 11:51 </t>
  </si>
  <si>
    <t> -0.007 </t>
  </si>
  <si>
    <t>C </t>
  </si>
  <si>
    <t>2452350.1271 </t>
  </si>
  <si>
    <t> 16.03.2002 15:03 </t>
  </si>
  <si>
    <t> 0.0176 </t>
  </si>
  <si>
    <t> Kiyota </t>
  </si>
  <si>
    <t>VSB 40 </t>
  </si>
  <si>
    <t>2452366.1220 </t>
  </si>
  <si>
    <t> 01.04.2002 14:55 </t>
  </si>
  <si>
    <t> 0.0222 </t>
  </si>
  <si>
    <t>2453033.8712 </t>
  </si>
  <si>
    <t> 29.01.2004 08:54 </t>
  </si>
  <si>
    <t> -0.0194 </t>
  </si>
  <si>
    <t> S.Dvorak </t>
  </si>
  <si>
    <t>IBVS 5603 </t>
  </si>
  <si>
    <t>2453466.6869 </t>
  </si>
  <si>
    <t> 06.04.2005 04:29 </t>
  </si>
  <si>
    <t> -0.0486 </t>
  </si>
  <si>
    <t>-I</t>
  </si>
  <si>
    <t> W.Ogloza et al. </t>
  </si>
  <si>
    <t>IBVS 5843 </t>
  </si>
  <si>
    <t>2453466.8389 </t>
  </si>
  <si>
    <t> 06.04.2005 08:08 </t>
  </si>
  <si>
    <t>39317.5</t>
  </si>
  <si>
    <t> -0.0550 </t>
  </si>
  <si>
    <t>2453468.5925 </t>
  </si>
  <si>
    <t> 08.04.2005 02:13 </t>
  </si>
  <si>
    <t>39323</t>
  </si>
  <si>
    <t> -0.0429 </t>
  </si>
  <si>
    <t>2453468.7486 </t>
  </si>
  <si>
    <t> 08.04.2005 05:57 </t>
  </si>
  <si>
    <t>39323.5</t>
  </si>
  <si>
    <t> -0.0451 </t>
  </si>
  <si>
    <t>2453469.6963 </t>
  </si>
  <si>
    <t> 09.04.2005 04:42 </t>
  </si>
  <si>
    <t>39326.5</t>
  </si>
  <si>
    <t> -0.0473 </t>
  </si>
  <si>
    <t>2453470.6523 </t>
  </si>
  <si>
    <t> 10.04.2005 03:39 </t>
  </si>
  <si>
    <t>39329.5</t>
  </si>
  <si>
    <t> -0.0412 </t>
  </si>
  <si>
    <t>2453471.5920 </t>
  </si>
  <si>
    <t> 11.04.2005 02:12 </t>
  </si>
  <si>
    <t>39332.5</t>
  </si>
  <si>
    <t> -0.0514 </t>
  </si>
  <si>
    <t>2453471.7570 </t>
  </si>
  <si>
    <t> 11.04.2005 06:10 </t>
  </si>
  <si>
    <t>39333</t>
  </si>
  <si>
    <t> -0.0448 </t>
  </si>
  <si>
    <t>2453473.6596 </t>
  </si>
  <si>
    <t> 13.04.2005 03:49 </t>
  </si>
  <si>
    <t>39339</t>
  </si>
  <si>
    <t> -0.0420 </t>
  </si>
  <si>
    <t>2453474.5999 </t>
  </si>
  <si>
    <t> 14.04.2005 02:23 </t>
  </si>
  <si>
    <t>39342</t>
  </si>
  <si>
    <t> -0.0516 </t>
  </si>
  <si>
    <t>2453474.7581 </t>
  </si>
  <si>
    <t> 14.04.2005 06:11 </t>
  </si>
  <si>
    <t>39342.5</t>
  </si>
  <si>
    <t> -0.0517 </t>
  </si>
  <si>
    <t>2453475.5533 </t>
  </si>
  <si>
    <t> 15.04.2005 01:16 </t>
  </si>
  <si>
    <t>39345</t>
  </si>
  <si>
    <t> -0.0481 </t>
  </si>
  <si>
    <t>2453477.6074 </t>
  </si>
  <si>
    <t> 17.04.2005 02:34 </t>
  </si>
  <si>
    <t>39351.5</t>
  </si>
  <si>
    <t> -0.0522 </t>
  </si>
  <si>
    <t>2453477.7722 </t>
  </si>
  <si>
    <t> 17.04.2005 06:31 </t>
  </si>
  <si>
    <t>39352</t>
  </si>
  <si>
    <t> -0.0457 </t>
  </si>
  <si>
    <t>2453478.5634 </t>
  </si>
  <si>
    <t> 18.04.2005 01:31 </t>
  </si>
  <si>
    <t>39354.5</t>
  </si>
  <si>
    <t> -0.0461 </t>
  </si>
  <si>
    <t>2453478.7250 </t>
  </si>
  <si>
    <t> 18.04.2005 05:24 </t>
  </si>
  <si>
    <t>39355</t>
  </si>
  <si>
    <t> -0.0428 </t>
  </si>
  <si>
    <t>2453480.6236 </t>
  </si>
  <si>
    <t> 20.04.2005 02:57 </t>
  </si>
  <si>
    <t>39361</t>
  </si>
  <si>
    <t> -0.0440 </t>
  </si>
  <si>
    <t>2453480.7797 </t>
  </si>
  <si>
    <t> 20.04.2005 06:42 </t>
  </si>
  <si>
    <t>39361.5</t>
  </si>
  <si>
    <t> -0.0463 </t>
  </si>
  <si>
    <t>2453504.6844 </t>
  </si>
  <si>
    <t> 14.05.2005 04:25 </t>
  </si>
  <si>
    <t>39437</t>
  </si>
  <si>
    <t> -0.0478 </t>
  </si>
  <si>
    <t>2453797.2376 </t>
  </si>
  <si>
    <t> 02.03.2006 17:42 </t>
  </si>
  <si>
    <t>40361</t>
  </si>
  <si>
    <t> -0.0686 </t>
  </si>
  <si>
    <t> K.Nagai et al. </t>
  </si>
  <si>
    <t>VSB 45 </t>
  </si>
  <si>
    <t>2453799.2954 </t>
  </si>
  <si>
    <t> 04.03.2006 19:05 </t>
  </si>
  <si>
    <t>40367.5</t>
  </si>
  <si>
    <t> -0.0690 </t>
  </si>
  <si>
    <t>2453809.1114 </t>
  </si>
  <si>
    <t> 14.03.2006 14:40 </t>
  </si>
  <si>
    <t>40398.5</t>
  </si>
  <si>
    <t> -0.0688 </t>
  </si>
  <si>
    <t>2454135.2310 </t>
  </si>
  <si>
    <t> 03.02.2007 17:32 </t>
  </si>
  <si>
    <t>41428.5</t>
  </si>
  <si>
    <t> -0.0869 </t>
  </si>
  <si>
    <t>Ic</t>
  </si>
  <si>
    <t> K.Nakajima </t>
  </si>
  <si>
    <t>VSB 46 </t>
  </si>
  <si>
    <t>2456396.0242 </t>
  </si>
  <si>
    <t> 13.04.2013 12:34 </t>
  </si>
  <si>
    <t>48568.5</t>
  </si>
  <si>
    <t> -0.0933 </t>
  </si>
  <si>
    <t>VSB 56 </t>
  </si>
  <si>
    <t>JAVSO..44..164</t>
  </si>
  <si>
    <t>JAVSO..46..184</t>
  </si>
  <si>
    <t>JAVSO..47..263</t>
  </si>
  <si>
    <t>VSB 067</t>
  </si>
  <si>
    <t>cG</t>
  </si>
  <si>
    <t>VSB 069</t>
  </si>
  <si>
    <t>U</t>
  </si>
  <si>
    <t>B</t>
  </si>
  <si>
    <t>JAVSO 49, 256</t>
  </si>
  <si>
    <t>VSB, 91</t>
  </si>
  <si>
    <t>JBAV, 55</t>
  </si>
  <si>
    <t>JBAV, 63</t>
  </si>
  <si>
    <t>JAAVSO, 50, 255</t>
  </si>
  <si>
    <t>Ha</t>
  </si>
  <si>
    <t>VSB, 108</t>
  </si>
  <si>
    <t xml:space="preserve">Mag </t>
  </si>
  <si>
    <t>Next ToM-P</t>
  </si>
  <si>
    <t>Next ToM-S</t>
  </si>
  <si>
    <t>8.99-9.25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</si>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</sst>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>
      <alignment vertical="top"/>
    </xf>
    <xf numFmtId="0" fontId="19" fillId="0" borderId="0" xfId="42" applyFont="1"/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5" fillId="0" borderId="8" xfId="0" applyFont="1" applyBorder="1" applyAlignment="1">
      <alignment horizont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0" fillId="25" borderId="0" xfId="0" applyFill="1" applyAlignment="1"/>
    <xf numFmtId="0" fontId="38" fillId="0" borderId="0" xfId="0" applyFont="1" applyAlignment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165" fontId="39" fillId="0" borderId="0" xfId="0" applyNumberFormat="1" applyFont="1" applyAlignment="1" applyProtection="1">
      <alignment horizontal="left" vertical="center" wrapText="1"/>
      <protection locked="0"/>
    </xf>
    <xf numFmtId="0" fontId="40" fillId="0" borderId="20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0" fontId="41" fillId="0" borderId="21" xfId="0" applyFont="1" applyBorder="1" applyAlignment="1">
      <alignment horizontal="right" vertical="center"/>
    </xf>
    <xf numFmtId="22" fontId="41" fillId="0" borderId="21" xfId="0" applyNumberFormat="1" applyFont="1" applyBorder="1" applyAlignment="1">
      <alignment horizontal="right" vertical="center"/>
    </xf>
    <xf numFmtId="22" fontId="41" fillId="0" borderId="22" xfId="0" applyNumberFormat="1" applyFont="1" applyBorder="1" applyAlignment="1">
      <alignment horizontal="right" vertical="center"/>
    </xf>
    <xf numFmtId="0" fontId="42" fillId="0" borderId="21" xfId="0" applyFont="1" applyBorder="1" applyAlignment="1">
      <alignment horizontal="right" vertical="center"/>
    </xf>
    <xf numFmtId="0" fontId="6" fillId="26" borderId="18" xfId="0" applyFont="1" applyFill="1" applyBorder="1" applyAlignment="1">
      <alignment horizontal="right" vertical="center"/>
    </xf>
    <xf numFmtId="0" fontId="6" fillId="26" borderId="19" xfId="0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Crv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20">
                  <c:v>5.9830639998835977E-2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3-4DC8-8FEF-D329E83563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-1.5004000015323982E-3</c:v>
                </c:pt>
                <c:pt idx="1">
                  <c:v>-3.9002000266918913E-4</c:v>
                </c:pt>
                <c:pt idx="3">
                  <c:v>2.3000000001047738E-3</c:v>
                </c:pt>
                <c:pt idx="4">
                  <c:v>-1.0886200034292415E-3</c:v>
                </c:pt>
                <c:pt idx="5">
                  <c:v>1.051500003086403E-3</c:v>
                </c:pt>
                <c:pt idx="6">
                  <c:v>3.1321400019805878E-3</c:v>
                </c:pt>
                <c:pt idx="7">
                  <c:v>7.5524999992921948E-3</c:v>
                </c:pt>
                <c:pt idx="8">
                  <c:v>-3.7574800007860176E-3</c:v>
                </c:pt>
                <c:pt idx="9">
                  <c:v>-1.3371200038818642E-3</c:v>
                </c:pt>
                <c:pt idx="10">
                  <c:v>-1.647099998081103E-3</c:v>
                </c:pt>
                <c:pt idx="11">
                  <c:v>4.9302000115858391E-4</c:v>
                </c:pt>
                <c:pt idx="12">
                  <c:v>2.9133800053386949E-3</c:v>
                </c:pt>
                <c:pt idx="13">
                  <c:v>1.921446000051219E-2</c:v>
                </c:pt>
                <c:pt idx="14">
                  <c:v>2.4209880000853445E-2</c:v>
                </c:pt>
                <c:pt idx="15">
                  <c:v>2.6402900002722163E-2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3-4DC8-8FEF-D329E83563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3-4DC8-8FEF-D329E83563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2">
                  <c:v>0</c:v>
                </c:pt>
                <c:pt idx="16">
                  <c:v>6.3236460002372041E-2</c:v>
                </c:pt>
                <c:pt idx="18">
                  <c:v>5.148170000029495E-2</c:v>
                </c:pt>
                <c:pt idx="19">
                  <c:v>5.7073720003245398E-2</c:v>
                </c:pt>
                <c:pt idx="21">
                  <c:v>5.4778080004325602E-2</c:v>
                </c:pt>
                <c:pt idx="22">
                  <c:v>5.0992760006920435E-2</c:v>
                </c:pt>
                <c:pt idx="23">
                  <c:v>4.4682780004222877E-2</c:v>
                </c:pt>
                <c:pt idx="24">
                  <c:v>5.6873000001360197E-2</c:v>
                </c:pt>
                <c:pt idx="25">
                  <c:v>5.4663020004227292E-2</c:v>
                </c:pt>
                <c:pt idx="26">
                  <c:v>5.2503140002954751E-2</c:v>
                </c:pt>
                <c:pt idx="27">
                  <c:v>5.8643260003009345E-2</c:v>
                </c:pt>
                <c:pt idx="28">
                  <c:v>4.848338000010699E-2</c:v>
                </c:pt>
                <c:pt idx="29">
                  <c:v>5.5173400003695861E-2</c:v>
                </c:pt>
                <c:pt idx="30">
                  <c:v>5.8053640001162421E-2</c:v>
                </c:pt>
                <c:pt idx="31">
                  <c:v>4.8493760004930664E-2</c:v>
                </c:pt>
                <c:pt idx="32">
                  <c:v>4.8383780005679E-2</c:v>
                </c:pt>
                <c:pt idx="33">
                  <c:v>5.2033879997907206E-2</c:v>
                </c:pt>
                <c:pt idx="34">
                  <c:v>4.8104140005307272E-2</c:v>
                </c:pt>
                <c:pt idx="35">
                  <c:v>5.4594159999396652E-2</c:v>
                </c:pt>
                <c:pt idx="36">
                  <c:v>5.4244259998085909E-2</c:v>
                </c:pt>
                <c:pt idx="37">
                  <c:v>5.7534280000254512E-2</c:v>
                </c:pt>
                <c:pt idx="38">
                  <c:v>5.6414519996906165E-2</c:v>
                </c:pt>
                <c:pt idx="39">
                  <c:v>5.420453999977326E-2</c:v>
                </c:pt>
                <c:pt idx="40">
                  <c:v>5.4097560001537204E-2</c:v>
                </c:pt>
                <c:pt idx="41">
                  <c:v>5.0454520001949277E-2</c:v>
                </c:pt>
                <c:pt idx="42">
                  <c:v>5.0224780003190972E-2</c:v>
                </c:pt>
                <c:pt idx="43">
                  <c:v>5.1006020003114827E-2</c:v>
                </c:pt>
                <c:pt idx="44">
                  <c:v>5.2047220000531524E-2</c:v>
                </c:pt>
                <c:pt idx="45">
                  <c:v>2.0422840003448073E-2</c:v>
                </c:pt>
                <c:pt idx="46">
                  <c:v>-3.0735959997400641E-2</c:v>
                </c:pt>
                <c:pt idx="47">
                  <c:v>-4.8291759994754102E-2</c:v>
                </c:pt>
                <c:pt idx="48">
                  <c:v>-4.9601739992795046E-2</c:v>
                </c:pt>
                <c:pt idx="52">
                  <c:v>-8.0038879990752321E-2</c:v>
                </c:pt>
                <c:pt idx="54">
                  <c:v>-9.4447379997291137E-2</c:v>
                </c:pt>
                <c:pt idx="55">
                  <c:v>-9.4147379997593816E-2</c:v>
                </c:pt>
                <c:pt idx="56">
                  <c:v>-9.3447380000725389E-2</c:v>
                </c:pt>
                <c:pt idx="57">
                  <c:v>-9.5093479998467956E-2</c:v>
                </c:pt>
                <c:pt idx="58">
                  <c:v>-9.4493479999073315E-2</c:v>
                </c:pt>
                <c:pt idx="59">
                  <c:v>-9.1993479996745009E-2</c:v>
                </c:pt>
                <c:pt idx="60">
                  <c:v>-9.0893479995429516E-2</c:v>
                </c:pt>
                <c:pt idx="61">
                  <c:v>-0.10187983984360471</c:v>
                </c:pt>
                <c:pt idx="62">
                  <c:v>-0.10087984014535323</c:v>
                </c:pt>
                <c:pt idx="63">
                  <c:v>-0.10393732000375167</c:v>
                </c:pt>
                <c:pt idx="64">
                  <c:v>-0.10193732014158741</c:v>
                </c:pt>
                <c:pt idx="65">
                  <c:v>-9.8937320115510374E-2</c:v>
                </c:pt>
                <c:pt idx="66">
                  <c:v>-0.10368681990803452</c:v>
                </c:pt>
                <c:pt idx="67">
                  <c:v>-0.10268682020978304</c:v>
                </c:pt>
                <c:pt idx="68">
                  <c:v>-9.8716559827153105E-2</c:v>
                </c:pt>
                <c:pt idx="69">
                  <c:v>-0.10269480019633193</c:v>
                </c:pt>
                <c:pt idx="70">
                  <c:v>-0.10199479998846073</c:v>
                </c:pt>
                <c:pt idx="71">
                  <c:v>-0.10169480003241915</c:v>
                </c:pt>
                <c:pt idx="72">
                  <c:v>-0.10353870016115252</c:v>
                </c:pt>
                <c:pt idx="73">
                  <c:v>-0.10629437999887159</c:v>
                </c:pt>
                <c:pt idx="74">
                  <c:v>-0.10982351988786831</c:v>
                </c:pt>
                <c:pt idx="75">
                  <c:v>-0.11583184014307335</c:v>
                </c:pt>
                <c:pt idx="76">
                  <c:v>-0.11483183997916058</c:v>
                </c:pt>
                <c:pt idx="77">
                  <c:v>-0.11590070018428378</c:v>
                </c:pt>
                <c:pt idx="78">
                  <c:v>-0.11380070002633147</c:v>
                </c:pt>
                <c:pt idx="79">
                  <c:v>-0.1161523798291455</c:v>
                </c:pt>
                <c:pt idx="80">
                  <c:v>-0.11395237984106643</c:v>
                </c:pt>
                <c:pt idx="81">
                  <c:v>-0.11652043999492889</c:v>
                </c:pt>
                <c:pt idx="82">
                  <c:v>-0.11383041999943089</c:v>
                </c:pt>
                <c:pt idx="83">
                  <c:v>-0.11946016000001691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3-4DC8-8FEF-D329E83563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3-4DC8-8FEF-D329E83563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3-4DC8-8FEF-D329E83563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2E-3</c:v>
                  </c:pt>
                  <c:pt idx="48">
                    <c:v>4.0000000000000001E-3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0</c:v>
                  </c:pt>
                  <c:pt idx="52">
                    <c:v>2.9999999999999997E-4</c:v>
                  </c:pt>
                  <c:pt idx="53">
                    <c:v>8.0000000000000004E-4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2.9999999999999997E-4</c:v>
                  </c:pt>
                  <c:pt idx="74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93-4DC8-8FEF-D329E83563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2">
                  <c:v>0.51803157658414622</c:v>
                </c:pt>
                <c:pt idx="31">
                  <c:v>9.4686514059571569E-2</c:v>
                </c:pt>
                <c:pt idx="32">
                  <c:v>9.4681134013535007E-2</c:v>
                </c:pt>
                <c:pt idx="33">
                  <c:v>9.4654233783352248E-2</c:v>
                </c:pt>
                <c:pt idx="34">
                  <c:v>9.4584293184876989E-2</c:v>
                </c:pt>
                <c:pt idx="35">
                  <c:v>9.4578913138840426E-2</c:v>
                </c:pt>
                <c:pt idx="36">
                  <c:v>9.4552012908657668E-2</c:v>
                </c:pt>
                <c:pt idx="37">
                  <c:v>9.4546632862621105E-2</c:v>
                </c:pt>
                <c:pt idx="38">
                  <c:v>9.4482072310182408E-2</c:v>
                </c:pt>
                <c:pt idx="39">
                  <c:v>9.4476692264145845E-2</c:v>
                </c:pt>
                <c:pt idx="40">
                  <c:v>9.3664305312625817E-2</c:v>
                </c:pt>
                <c:pt idx="41">
                  <c:v>8.3721980237069005E-2</c:v>
                </c:pt>
                <c:pt idx="42">
                  <c:v>8.3652039638593745E-2</c:v>
                </c:pt>
                <c:pt idx="43">
                  <c:v>8.3318476784327244E-2</c:v>
                </c:pt>
                <c:pt idx="44">
                  <c:v>7.2235581949020411E-2</c:v>
                </c:pt>
                <c:pt idx="45">
                  <c:v>-4.596855499045982E-3</c:v>
                </c:pt>
                <c:pt idx="46">
                  <c:v>-4.2579980517136407E-2</c:v>
                </c:pt>
                <c:pt idx="47">
                  <c:v>-5.4469882257926705E-2</c:v>
                </c:pt>
                <c:pt idx="48">
                  <c:v>-5.4475262303963268E-2</c:v>
                </c:pt>
                <c:pt idx="49">
                  <c:v>-6.750035375846708E-2</c:v>
                </c:pt>
                <c:pt idx="50">
                  <c:v>-6.7801636336514259E-2</c:v>
                </c:pt>
                <c:pt idx="51">
                  <c:v>-7.6285968936164239E-2</c:v>
                </c:pt>
                <c:pt idx="52">
                  <c:v>-7.9454816051696131E-2</c:v>
                </c:pt>
                <c:pt idx="53">
                  <c:v>-8.0686846594067552E-2</c:v>
                </c:pt>
                <c:pt idx="54">
                  <c:v>-9.0618411577551239E-2</c:v>
                </c:pt>
                <c:pt idx="55">
                  <c:v>-9.0618411577551239E-2</c:v>
                </c:pt>
                <c:pt idx="56">
                  <c:v>-9.0618411577551239E-2</c:v>
                </c:pt>
                <c:pt idx="57">
                  <c:v>-9.166752055467986E-2</c:v>
                </c:pt>
                <c:pt idx="58">
                  <c:v>-9.166752055467986E-2</c:v>
                </c:pt>
                <c:pt idx="59">
                  <c:v>-9.166752055467986E-2</c:v>
                </c:pt>
                <c:pt idx="60">
                  <c:v>-9.166752055467986E-2</c:v>
                </c:pt>
                <c:pt idx="61">
                  <c:v>-0.10071675798816826</c:v>
                </c:pt>
                <c:pt idx="62">
                  <c:v>-0.10071675798816826</c:v>
                </c:pt>
                <c:pt idx="63">
                  <c:v>-0.10139464378877439</c:v>
                </c:pt>
                <c:pt idx="64">
                  <c:v>-0.10139464378877439</c:v>
                </c:pt>
                <c:pt idx="65">
                  <c:v>-0.10139464378877439</c:v>
                </c:pt>
                <c:pt idx="66">
                  <c:v>-0.10152914493968834</c:v>
                </c:pt>
                <c:pt idx="67">
                  <c:v>-0.10152914493968834</c:v>
                </c:pt>
                <c:pt idx="68">
                  <c:v>-0.10159908553816355</c:v>
                </c:pt>
                <c:pt idx="69">
                  <c:v>-0.10207252958938051</c:v>
                </c:pt>
                <c:pt idx="70">
                  <c:v>-0.10207252958938051</c:v>
                </c:pt>
                <c:pt idx="71">
                  <c:v>-0.10207252958938051</c:v>
                </c:pt>
                <c:pt idx="72">
                  <c:v>-0.10371344363053037</c:v>
                </c:pt>
                <c:pt idx="73">
                  <c:v>-0.10487553357442658</c:v>
                </c:pt>
                <c:pt idx="74">
                  <c:v>-0.10510687555399856</c:v>
                </c:pt>
                <c:pt idx="75">
                  <c:v>-0.11362886847590437</c:v>
                </c:pt>
                <c:pt idx="76">
                  <c:v>-0.11362886847590437</c:v>
                </c:pt>
                <c:pt idx="77">
                  <c:v>-0.11393553109998811</c:v>
                </c:pt>
                <c:pt idx="78">
                  <c:v>-0.11393553109998811</c:v>
                </c:pt>
                <c:pt idx="79">
                  <c:v>-0.11617363025119565</c:v>
                </c:pt>
                <c:pt idx="80">
                  <c:v>-0.11617363025119565</c:v>
                </c:pt>
                <c:pt idx="81">
                  <c:v>-0.11669549471674168</c:v>
                </c:pt>
                <c:pt idx="82">
                  <c:v>-0.11670087476277824</c:v>
                </c:pt>
                <c:pt idx="83">
                  <c:v>-0.11677081536125344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3-4DC8-8FEF-D329E83563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52101</c:v>
                </c:pt>
                <c:pt idx="47">
                  <c:v>53206</c:v>
                </c:pt>
                <c:pt idx="48">
                  <c:v>53206.5</c:v>
                </c:pt>
                <c:pt idx="49">
                  <c:v>54417</c:v>
                </c:pt>
                <c:pt idx="50">
                  <c:v>54445</c:v>
                </c:pt>
                <c:pt idx="51">
                  <c:v>55233.5</c:v>
                </c:pt>
                <c:pt idx="52">
                  <c:v>55528</c:v>
                </c:pt>
                <c:pt idx="53">
                  <c:v>55642.5</c:v>
                </c:pt>
                <c:pt idx="54">
                  <c:v>56565.5</c:v>
                </c:pt>
                <c:pt idx="55">
                  <c:v>56565.5</c:v>
                </c:pt>
                <c:pt idx="56">
                  <c:v>56565.5</c:v>
                </c:pt>
                <c:pt idx="57">
                  <c:v>56663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57504</c:v>
                </c:pt>
                <c:pt idx="62">
                  <c:v>57504</c:v>
                </c:pt>
                <c:pt idx="63">
                  <c:v>57567</c:v>
                </c:pt>
                <c:pt idx="64">
                  <c:v>57567</c:v>
                </c:pt>
                <c:pt idx="65">
                  <c:v>57567</c:v>
                </c:pt>
                <c:pt idx="66">
                  <c:v>57579.5</c:v>
                </c:pt>
                <c:pt idx="67">
                  <c:v>57579.5</c:v>
                </c:pt>
                <c:pt idx="68">
                  <c:v>57586</c:v>
                </c:pt>
                <c:pt idx="69">
                  <c:v>57630</c:v>
                </c:pt>
                <c:pt idx="70">
                  <c:v>57630</c:v>
                </c:pt>
                <c:pt idx="71">
                  <c:v>57630</c:v>
                </c:pt>
                <c:pt idx="72">
                  <c:v>57782.5</c:v>
                </c:pt>
                <c:pt idx="73">
                  <c:v>57890.5</c:v>
                </c:pt>
                <c:pt idx="74">
                  <c:v>57912</c:v>
                </c:pt>
                <c:pt idx="75">
                  <c:v>58704</c:v>
                </c:pt>
                <c:pt idx="76">
                  <c:v>58704</c:v>
                </c:pt>
                <c:pt idx="77">
                  <c:v>58732.5</c:v>
                </c:pt>
                <c:pt idx="78">
                  <c:v>58732.5</c:v>
                </c:pt>
                <c:pt idx="79">
                  <c:v>58940.5</c:v>
                </c:pt>
                <c:pt idx="80">
                  <c:v>58940.5</c:v>
                </c:pt>
                <c:pt idx="81">
                  <c:v>58989</c:v>
                </c:pt>
                <c:pt idx="82">
                  <c:v>58989.5</c:v>
                </c:pt>
                <c:pt idx="83">
                  <c:v>58996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  <c:pt idx="17">
                  <c:v>-7.8564060000644531E-2</c:v>
                </c:pt>
                <c:pt idx="49">
                  <c:v>-0.222663319997082</c:v>
                </c:pt>
                <c:pt idx="50">
                  <c:v>-0.22272220000013476</c:v>
                </c:pt>
                <c:pt idx="51">
                  <c:v>-0.2297606599968276</c:v>
                </c:pt>
                <c:pt idx="53">
                  <c:v>-0.22062429999641608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93-4DC8-8FEF-D329E835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981712"/>
        <c:axId val="1"/>
      </c:scatterChart>
      <c:valAx>
        <c:axId val="615981712"/>
        <c:scaling>
          <c:orientation val="minMax"/>
          <c:min val="-10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98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619125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FAC9AB-EF8D-447E-A55A-BE4ECB5AB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43" TargetMode="External"/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www.konkoly.hu/cgi-bin/IBVS?5843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solj.cetus-net.org/no40.pdf" TargetMode="External"/><Relationship Id="rId21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konkoly.hu/cgi-bin/IBVS?5843" TargetMode="External"/><Relationship Id="rId25" Type="http://schemas.openxmlformats.org/officeDocument/2006/relationships/hyperlink" Target="http://vsolj.cetus-net.org/no45.pdf" TargetMode="External"/><Relationship Id="rId2" Type="http://schemas.openxmlformats.org/officeDocument/2006/relationships/hyperlink" Target="http://vsolj.cetus-net.org/no47.pdf" TargetMode="External"/><Relationship Id="rId16" Type="http://schemas.openxmlformats.org/officeDocument/2006/relationships/hyperlink" Target="http://www.konkoly.hu/cgi-bin/IBVS?5843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konkoly.hu/cgi-bin/IBVS?5843" TargetMode="External"/><Relationship Id="rId5" Type="http://schemas.openxmlformats.org/officeDocument/2006/relationships/hyperlink" Target="http://www.konkoly.hu/cgi-bin/IBVS?5603" TargetMode="External"/><Relationship Id="rId15" Type="http://schemas.openxmlformats.org/officeDocument/2006/relationships/hyperlink" Target="http://www.konkoly.hu/cgi-bin/IBVS?5843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konkoly.hu/cgi-bin/IBVS?5843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konkoly.hu/cgi-bin/IBVS?5843" TargetMode="External"/><Relationship Id="rId22" Type="http://schemas.openxmlformats.org/officeDocument/2006/relationships/hyperlink" Target="http://www.konkoly.hu/cgi-bin/IBVS?5843" TargetMode="External"/><Relationship Id="rId27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2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7109375" customWidth="1"/>
    <col min="5" max="5" width="11.42578125" customWidth="1"/>
    <col min="6" max="6" width="14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ht="12.95" customHeight="1" x14ac:dyDescent="0.2">
      <c r="A2" t="s">
        <v>24</v>
      </c>
      <c r="B2" t="s">
        <v>38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36</v>
      </c>
      <c r="C4" s="8">
        <v>52500.055</v>
      </c>
      <c r="D4" s="9">
        <v>0.31661790000000001</v>
      </c>
    </row>
    <row r="5" spans="1:6" ht="12.95" customHeight="1" thickTop="1" x14ac:dyDescent="0.2">
      <c r="A5" s="11" t="s">
        <v>29</v>
      </c>
      <c r="B5" s="12"/>
      <c r="C5" s="13">
        <v>-9.5</v>
      </c>
      <c r="D5" s="12" t="s">
        <v>30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 s="80">
        <v>41017.455699999999</v>
      </c>
      <c r="D7" s="80" t="s">
        <v>244</v>
      </c>
    </row>
    <row r="8" spans="1:6" ht="12.95" customHeight="1" x14ac:dyDescent="0.2">
      <c r="A8" t="s">
        <v>4</v>
      </c>
      <c r="C8" s="80">
        <v>0.31661995999999998</v>
      </c>
      <c r="D8" s="80" t="s">
        <v>244</v>
      </c>
    </row>
    <row r="9" spans="1:6" ht="12.95" customHeight="1" x14ac:dyDescent="0.2">
      <c r="A9" s="25" t="s">
        <v>33</v>
      </c>
      <c r="B9" s="26">
        <v>65</v>
      </c>
      <c r="C9" s="23" t="str">
        <f>"F"&amp;B9</f>
        <v>F65</v>
      </c>
      <c r="D9" s="24" t="str">
        <f>"G"&amp;B9</f>
        <v>G65</v>
      </c>
    </row>
    <row r="10" spans="1:6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6" ht="12.95" customHeight="1" x14ac:dyDescent="0.2">
      <c r="A11" s="12" t="s">
        <v>16</v>
      </c>
      <c r="B11" s="12"/>
      <c r="C11" s="22">
        <f ca="1">INTERCEPT(INDIRECT($D$9):G991,INDIRECT($C$9):F991)</f>
        <v>0.51803157658414622</v>
      </c>
      <c r="D11" s="3"/>
      <c r="E11" s="12"/>
    </row>
    <row r="12" spans="1:6" ht="12.95" customHeight="1" x14ac:dyDescent="0.2">
      <c r="A12" s="12" t="s">
        <v>17</v>
      </c>
      <c r="B12" s="12"/>
      <c r="C12" s="22">
        <f ca="1">SLOPE(INDIRECT($D$9):G991,INDIRECT($C$9):F991)</f>
        <v>-1.0760092073113426E-5</v>
      </c>
      <c r="D12" s="3"/>
      <c r="E12" s="78" t="s">
        <v>240</v>
      </c>
      <c r="F12" s="79" t="s">
        <v>243</v>
      </c>
    </row>
    <row r="13" spans="1:6" ht="12.95" customHeight="1" x14ac:dyDescent="0.2">
      <c r="A13" s="12" t="s">
        <v>19</v>
      </c>
      <c r="B13" s="12"/>
      <c r="C13" s="3" t="s">
        <v>14</v>
      </c>
      <c r="E13" s="72" t="s">
        <v>41</v>
      </c>
      <c r="F13" s="77">
        <v>1</v>
      </c>
    </row>
    <row r="14" spans="1:6" ht="12.95" customHeight="1" x14ac:dyDescent="0.2">
      <c r="A14" s="12"/>
      <c r="B14" s="12"/>
      <c r="C14" s="12"/>
      <c r="E14" s="72" t="s">
        <v>31</v>
      </c>
      <c r="F14" s="74">
        <f ca="1">NOW()+15018.5+$C$5/24</f>
        <v>60525.81138692129</v>
      </c>
    </row>
    <row r="15" spans="1:6" ht="12.95" customHeight="1" x14ac:dyDescent="0.2">
      <c r="A15" s="14" t="s">
        <v>18</v>
      </c>
      <c r="B15" s="12"/>
      <c r="C15" s="15">
        <f ca="1">(C7+C11)+(C8+C12)*INT(MAX(F21:F3532))</f>
        <v>59696.650089344635</v>
      </c>
      <c r="E15" s="72" t="s">
        <v>42</v>
      </c>
      <c r="F15" s="74">
        <f ca="1">ROUND(2*($F$14-$C$7)/$C$8,0)/2+$F$13</f>
        <v>61615.5</v>
      </c>
    </row>
    <row r="16" spans="1:6" ht="12.95" customHeight="1" x14ac:dyDescent="0.2">
      <c r="A16" s="17" t="s">
        <v>5</v>
      </c>
      <c r="B16" s="12"/>
      <c r="C16" s="18">
        <f ca="1">+C8+C12</f>
        <v>0.31660919990792685</v>
      </c>
      <c r="E16" s="72" t="s">
        <v>32</v>
      </c>
      <c r="F16" s="74">
        <f ca="1">ROUND(2*($F$14-$C$15)/$C$16,0)/2+$F$13</f>
        <v>2620</v>
      </c>
    </row>
    <row r="17" spans="1:21" ht="12.95" customHeight="1" thickBot="1" x14ac:dyDescent="0.25">
      <c r="A17" s="16" t="s">
        <v>28</v>
      </c>
      <c r="B17" s="12"/>
      <c r="C17" s="12">
        <f>COUNT(C21:C2190)</f>
        <v>84</v>
      </c>
      <c r="E17" s="72" t="s">
        <v>241</v>
      </c>
      <c r="F17" s="75">
        <f ca="1">+$C$15+$C$16*$F$16-15018.5-$C$5/24</f>
        <v>45508.062026436739</v>
      </c>
    </row>
    <row r="18" spans="1:21" ht="12.95" customHeight="1" thickTop="1" thickBot="1" x14ac:dyDescent="0.25">
      <c r="A18" s="17" t="s">
        <v>6</v>
      </c>
      <c r="B18" s="12"/>
      <c r="C18" s="20">
        <f ca="1">+C15</f>
        <v>59696.650089344635</v>
      </c>
      <c r="D18" s="21">
        <f ca="1">+C16</f>
        <v>0.31660919990792685</v>
      </c>
      <c r="E18" s="73" t="s">
        <v>242</v>
      </c>
      <c r="F18" s="76">
        <f ca="1">+($C$15+$C$16*$F$16)-($C$16/2)-15018.5-$C$5/24</f>
        <v>45507.903721836788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3" t="s">
        <v>1</v>
      </c>
    </row>
    <row r="21" spans="1:21" ht="12.95" customHeight="1" x14ac:dyDescent="0.2">
      <c r="A21" s="45" t="s">
        <v>63</v>
      </c>
      <c r="B21" s="47" t="s">
        <v>34</v>
      </c>
      <c r="C21" s="46">
        <v>41014.288</v>
      </c>
      <c r="D21" s="46" t="s">
        <v>54</v>
      </c>
      <c r="E21">
        <f>+(C21-C$7)/C$8</f>
        <v>-10.004738804205992</v>
      </c>
      <c r="F21">
        <f>ROUND(2*E21,0)/2</f>
        <v>-10</v>
      </c>
      <c r="G21">
        <f>+C21-(C$7+F21*C$8)</f>
        <v>-1.5004000015323982E-3</v>
      </c>
      <c r="I21">
        <f>+G21</f>
        <v>-1.5004000015323982E-3</v>
      </c>
      <c r="Q21" s="2">
        <f>+C21-15018.5</f>
        <v>25995.788</v>
      </c>
    </row>
    <row r="22" spans="1:21" ht="12.95" customHeight="1" x14ac:dyDescent="0.2">
      <c r="A22" s="45" t="s">
        <v>63</v>
      </c>
      <c r="B22" s="47" t="s">
        <v>40</v>
      </c>
      <c r="C22" s="46">
        <v>41017.296999999999</v>
      </c>
      <c r="D22" s="46" t="s">
        <v>54</v>
      </c>
      <c r="E22">
        <f>+(C22-C$7)/C$8</f>
        <v>-0.50123182379264231</v>
      </c>
      <c r="F22">
        <f>ROUND(2*E22,0)/2</f>
        <v>-0.5</v>
      </c>
      <c r="G22">
        <f>+C22-(C$7+F22*C$8)</f>
        <v>-3.9002000266918913E-4</v>
      </c>
      <c r="I22">
        <f>+G22</f>
        <v>-3.9002000266918913E-4</v>
      </c>
      <c r="Q22" s="2">
        <f>+C22-15018.5</f>
        <v>25998.796999999999</v>
      </c>
    </row>
    <row r="23" spans="1:21" ht="12.95" customHeight="1" x14ac:dyDescent="0.2">
      <c r="A23" s="67" t="s">
        <v>244</v>
      </c>
      <c r="C23" s="10">
        <v>41017.455699999999</v>
      </c>
      <c r="D23" s="10"/>
      <c r="E23">
        <f>+(C23-C$7)/C$8</f>
        <v>0</v>
      </c>
      <c r="F23">
        <f>ROUND(2*E23,0)/2</f>
        <v>0</v>
      </c>
      <c r="G23">
        <f>+C23-(C$7+F23*C$8)</f>
        <v>0</v>
      </c>
      <c r="K23">
        <f>+G23</f>
        <v>0</v>
      </c>
      <c r="O23">
        <f ca="1">+C$11+C$12*$F23</f>
        <v>0.51803157658414622</v>
      </c>
      <c r="Q23" s="2">
        <f>+C23-15018.5</f>
        <v>25998.955699999999</v>
      </c>
    </row>
    <row r="24" spans="1:21" ht="12.95" customHeight="1" x14ac:dyDescent="0.2">
      <c r="A24" s="45" t="s">
        <v>63</v>
      </c>
      <c r="B24" s="47" t="s">
        <v>34</v>
      </c>
      <c r="C24" s="46">
        <v>41017.457999999999</v>
      </c>
      <c r="D24" s="46" t="s">
        <v>54</v>
      </c>
      <c r="E24">
        <f>+(C24-C$7)/C$8</f>
        <v>7.2642293306611934E-3</v>
      </c>
      <c r="F24">
        <f>ROUND(2*E24,0)/2</f>
        <v>0</v>
      </c>
      <c r="G24">
        <f>+C24-(C$7+F24*C$8)</f>
        <v>2.3000000001047738E-3</v>
      </c>
      <c r="I24">
        <f>+G24</f>
        <v>2.3000000001047738E-3</v>
      </c>
      <c r="Q24" s="2">
        <f>+C24-15018.5</f>
        <v>25998.957999999999</v>
      </c>
    </row>
    <row r="25" spans="1:21" ht="12.95" customHeight="1" x14ac:dyDescent="0.2">
      <c r="A25" s="45" t="s">
        <v>63</v>
      </c>
      <c r="B25" s="47" t="s">
        <v>40</v>
      </c>
      <c r="C25" s="46">
        <v>41028.377999999997</v>
      </c>
      <c r="D25" s="46" t="s">
        <v>54</v>
      </c>
      <c r="E25">
        <f>+(C25-C$7)/C$8</f>
        <v>34.496561745501957</v>
      </c>
      <c r="F25">
        <f>ROUND(2*E25,0)/2</f>
        <v>34.5</v>
      </c>
      <c r="G25">
        <f>+C25-(C$7+F25*C$8)</f>
        <v>-1.0886200034292415E-3</v>
      </c>
      <c r="I25">
        <f>+G25</f>
        <v>-1.0886200034292415E-3</v>
      </c>
      <c r="Q25" s="2">
        <f>+C25-15018.5</f>
        <v>26009.877999999997</v>
      </c>
    </row>
    <row r="26" spans="1:21" ht="12.95" customHeight="1" x14ac:dyDescent="0.2">
      <c r="A26" s="45" t="s">
        <v>63</v>
      </c>
      <c r="B26" s="47" t="s">
        <v>40</v>
      </c>
      <c r="C26" s="46">
        <v>41029.33</v>
      </c>
      <c r="D26" s="46" t="s">
        <v>54</v>
      </c>
      <c r="E26">
        <f>+(C26-C$7)/C$8</f>
        <v>37.503321016158083</v>
      </c>
      <c r="F26">
        <f>ROUND(2*E26,0)/2</f>
        <v>37.5</v>
      </c>
      <c r="G26">
        <f>+C26-(C$7+F26*C$8)</f>
        <v>1.051500003086403E-3</v>
      </c>
      <c r="I26">
        <f>+G26</f>
        <v>1.051500003086403E-3</v>
      </c>
      <c r="Q26" s="2">
        <f>+C26-15018.5</f>
        <v>26010.83</v>
      </c>
    </row>
    <row r="27" spans="1:21" ht="12.95" customHeight="1" x14ac:dyDescent="0.2">
      <c r="A27" s="45" t="s">
        <v>63</v>
      </c>
      <c r="B27" s="47" t="s">
        <v>40</v>
      </c>
      <c r="C27" s="46">
        <v>41034.398000000001</v>
      </c>
      <c r="D27" s="46" t="s">
        <v>54</v>
      </c>
      <c r="E27">
        <f>+(C27-C$7)/C$8</f>
        <v>53.509892427509733</v>
      </c>
      <c r="F27">
        <f>ROUND(2*E27,0)/2</f>
        <v>53.5</v>
      </c>
      <c r="G27">
        <f>+C27-(C$7+F27*C$8)</f>
        <v>3.1321400019805878E-3</v>
      </c>
      <c r="I27">
        <f>+G27</f>
        <v>3.1321400019805878E-3</v>
      </c>
      <c r="Q27" s="2">
        <f>+C27-15018.5</f>
        <v>26015.898000000001</v>
      </c>
    </row>
    <row r="28" spans="1:21" ht="12.95" customHeight="1" x14ac:dyDescent="0.2">
      <c r="A28" s="45" t="s">
        <v>63</v>
      </c>
      <c r="B28" s="47" t="s">
        <v>40</v>
      </c>
      <c r="C28" s="46">
        <v>41037.252</v>
      </c>
      <c r="D28" s="46" t="s">
        <v>54</v>
      </c>
      <c r="E28">
        <f>+(C28-C$7)/C$8</f>
        <v>62.523853518274066</v>
      </c>
      <c r="F28">
        <f>ROUND(2*E28,0)/2</f>
        <v>62.5</v>
      </c>
      <c r="G28">
        <f>+C28-(C$7+F28*C$8)</f>
        <v>7.5524999992921948E-3</v>
      </c>
      <c r="I28">
        <f>+G28</f>
        <v>7.5524999992921948E-3</v>
      </c>
      <c r="Q28" s="2">
        <f>+C28-15018.5</f>
        <v>26018.752</v>
      </c>
    </row>
    <row r="29" spans="1:21" ht="12.95" customHeight="1" x14ac:dyDescent="0.2">
      <c r="A29" s="45" t="s">
        <v>63</v>
      </c>
      <c r="B29" s="47" t="s">
        <v>34</v>
      </c>
      <c r="C29" s="46">
        <v>41037.398999999998</v>
      </c>
      <c r="D29" s="46" t="s">
        <v>54</v>
      </c>
      <c r="E29">
        <f>+(C29-C$7)/C$8</f>
        <v>62.988132523290702</v>
      </c>
      <c r="F29">
        <f>ROUND(2*E29,0)/2</f>
        <v>63</v>
      </c>
      <c r="G29">
        <f>+C29-(C$7+F29*C$8)</f>
        <v>-3.7574800007860176E-3</v>
      </c>
      <c r="I29">
        <f>+G29</f>
        <v>-3.7574800007860176E-3</v>
      </c>
      <c r="Q29" s="2">
        <f>+C29-15018.5</f>
        <v>26018.898999999998</v>
      </c>
    </row>
    <row r="30" spans="1:21" x14ac:dyDescent="0.2">
      <c r="A30" s="45" t="s">
        <v>63</v>
      </c>
      <c r="B30" s="47" t="s">
        <v>34</v>
      </c>
      <c r="C30" s="46">
        <v>41040.250999999997</v>
      </c>
      <c r="D30" s="46" t="s">
        <v>54</v>
      </c>
      <c r="E30">
        <f>+(C30-C$7)/C$8</f>
        <v>71.995776892896941</v>
      </c>
      <c r="F30">
        <f>ROUND(2*E30,0)/2</f>
        <v>72</v>
      </c>
      <c r="G30">
        <f>+C30-(C$7+F30*C$8)</f>
        <v>-1.3371200038818642E-3</v>
      </c>
      <c r="I30">
        <f>+G30</f>
        <v>-1.3371200038818642E-3</v>
      </c>
      <c r="Q30" s="2">
        <f>+C30-15018.5</f>
        <v>26021.750999999997</v>
      </c>
    </row>
    <row r="31" spans="1:21" x14ac:dyDescent="0.2">
      <c r="A31" s="45" t="s">
        <v>63</v>
      </c>
      <c r="B31" s="47" t="s">
        <v>40</v>
      </c>
      <c r="C31" s="46">
        <v>41040.409</v>
      </c>
      <c r="D31" s="46" t="s">
        <v>54</v>
      </c>
      <c r="E31">
        <f>+(C31-C$7)/C$8</f>
        <v>72.494797864294583</v>
      </c>
      <c r="F31">
        <f>ROUND(2*E31,0)/2</f>
        <v>72.5</v>
      </c>
      <c r="G31">
        <f>+C31-(C$7+F31*C$8)</f>
        <v>-1.647099998081103E-3</v>
      </c>
      <c r="I31">
        <f>+G31</f>
        <v>-1.647099998081103E-3</v>
      </c>
      <c r="Q31" s="2">
        <f>+C31-15018.5</f>
        <v>26021.909</v>
      </c>
    </row>
    <row r="32" spans="1:21" x14ac:dyDescent="0.2">
      <c r="A32" s="45" t="s">
        <v>63</v>
      </c>
      <c r="B32" s="47" t="s">
        <v>40</v>
      </c>
      <c r="C32" s="46">
        <v>41041.360999999997</v>
      </c>
      <c r="D32" s="46" t="s">
        <v>54</v>
      </c>
      <c r="E32">
        <f>+(C32-C$7)/C$8</f>
        <v>75.501557134927737</v>
      </c>
      <c r="F32">
        <f>ROUND(2*E32,0)/2</f>
        <v>75.5</v>
      </c>
      <c r="G32">
        <f>+C32-(C$7+F32*C$8)</f>
        <v>4.9302000115858391E-4</v>
      </c>
      <c r="I32">
        <f>+G32</f>
        <v>4.9302000115858391E-4</v>
      </c>
      <c r="Q32" s="2">
        <f>+C32-15018.5</f>
        <v>26022.860999999997</v>
      </c>
    </row>
    <row r="33" spans="1:21" x14ac:dyDescent="0.2">
      <c r="A33" s="45" t="s">
        <v>63</v>
      </c>
      <c r="B33" s="47" t="s">
        <v>40</v>
      </c>
      <c r="C33" s="46">
        <v>41044.213000000003</v>
      </c>
      <c r="D33" s="46" t="s">
        <v>54</v>
      </c>
      <c r="E33">
        <f>+(C33-C$7)/C$8</f>
        <v>84.509201504556955</v>
      </c>
      <c r="F33">
        <f>ROUND(2*E33,0)/2</f>
        <v>84.5</v>
      </c>
      <c r="G33">
        <f>+C33-(C$7+F33*C$8)</f>
        <v>2.9133800053386949E-3</v>
      </c>
      <c r="I33">
        <f>+G33</f>
        <v>2.9133800053386949E-3</v>
      </c>
      <c r="Q33" s="2">
        <f>+C33-15018.5</f>
        <v>26025.713000000003</v>
      </c>
    </row>
    <row r="34" spans="1:21" x14ac:dyDescent="0.2">
      <c r="A34" s="45" t="s">
        <v>63</v>
      </c>
      <c r="B34" s="47" t="s">
        <v>40</v>
      </c>
      <c r="C34" s="46">
        <v>41369.398000000001</v>
      </c>
      <c r="D34" s="46" t="s">
        <v>54</v>
      </c>
      <c r="E34">
        <f>+(C34-C$7)/C$8</f>
        <v>1111.5606861930071</v>
      </c>
      <c r="F34">
        <f>ROUND(2*E34,0)/2</f>
        <v>1111.5</v>
      </c>
      <c r="G34">
        <f>+C34-(C$7+F34*C$8)</f>
        <v>1.921446000051219E-2</v>
      </c>
      <c r="I34">
        <f>+G34</f>
        <v>1.921446000051219E-2</v>
      </c>
      <c r="Q34" s="2">
        <f>+C34-15018.5</f>
        <v>26350.898000000001</v>
      </c>
    </row>
    <row r="35" spans="1:21" x14ac:dyDescent="0.2">
      <c r="A35" s="45" t="s">
        <v>63</v>
      </c>
      <c r="B35" s="47" t="s">
        <v>34</v>
      </c>
      <c r="C35" s="46">
        <v>41412.305</v>
      </c>
      <c r="D35" s="46" t="s">
        <v>54</v>
      </c>
      <c r="E35">
        <f>+(C35-C$7)/C$8</f>
        <v>1247.0764635306052</v>
      </c>
      <c r="F35">
        <f>ROUND(2*E35,0)/2</f>
        <v>1247</v>
      </c>
      <c r="G35">
        <f>+C35-(C$7+F35*C$8)</f>
        <v>2.4209880000853445E-2</v>
      </c>
      <c r="I35">
        <f>+G35</f>
        <v>2.4209880000853445E-2</v>
      </c>
      <c r="Q35" s="2">
        <f>+C35-15018.5</f>
        <v>26393.805</v>
      </c>
    </row>
    <row r="36" spans="1:21" x14ac:dyDescent="0.2">
      <c r="A36" s="45" t="s">
        <v>63</v>
      </c>
      <c r="B36" s="47" t="s">
        <v>40</v>
      </c>
      <c r="C36" s="46">
        <v>41436.212</v>
      </c>
      <c r="D36" s="46" t="s">
        <v>54</v>
      </c>
      <c r="E36">
        <f>+(C36-C$7)/C$8</f>
        <v>1322.5833898785186</v>
      </c>
      <c r="F36">
        <f>ROUND(2*E36,0)/2</f>
        <v>1322.5</v>
      </c>
      <c r="G36">
        <f>+C36-(C$7+F36*C$8)</f>
        <v>2.6402900002722163E-2</v>
      </c>
      <c r="I36">
        <f>+G36</f>
        <v>2.6402900002722163E-2</v>
      </c>
      <c r="Q36" s="2">
        <f>+C36-15018.5</f>
        <v>26417.712</v>
      </c>
    </row>
    <row r="37" spans="1:21" x14ac:dyDescent="0.2">
      <c r="A37" s="45" t="s">
        <v>103</v>
      </c>
      <c r="B37" s="47" t="s">
        <v>34</v>
      </c>
      <c r="C37" s="46">
        <v>49459.082000000002</v>
      </c>
      <c r="D37" s="46" t="s">
        <v>54</v>
      </c>
      <c r="E37">
        <f>+(C37-C$7)/C$8</f>
        <v>26661.699723542395</v>
      </c>
      <c r="F37">
        <f>ROUND(2*E37,0)/2</f>
        <v>26661.5</v>
      </c>
      <c r="G37">
        <f>+C37-(C$7+F37*C$8)</f>
        <v>6.3236460002372041E-2</v>
      </c>
      <c r="K37">
        <f>+G37</f>
        <v>6.3236460002372041E-2</v>
      </c>
      <c r="Q37" s="2">
        <f>+C37-15018.5</f>
        <v>34440.582000000002</v>
      </c>
    </row>
    <row r="38" spans="1:21" x14ac:dyDescent="0.2">
      <c r="A38" s="45" t="s">
        <v>103</v>
      </c>
      <c r="B38" s="47" t="s">
        <v>40</v>
      </c>
      <c r="C38" s="46">
        <v>50562.993999999999</v>
      </c>
      <c r="D38" s="46" t="s">
        <v>54</v>
      </c>
      <c r="E38">
        <f>+(C38-C$7)/C$8</f>
        <v>30148.251866370018</v>
      </c>
      <c r="F38">
        <f>ROUND(2*E38,0)/2</f>
        <v>30148.5</v>
      </c>
      <c r="Q38" s="2">
        <f>+C38-15018.5</f>
        <v>35544.493999999999</v>
      </c>
      <c r="U38">
        <f>+C38-(C$7+F38*C$8)</f>
        <v>-7.8564060000644531E-2</v>
      </c>
    </row>
    <row r="39" spans="1:21" x14ac:dyDescent="0.2">
      <c r="A39" s="45" t="s">
        <v>112</v>
      </c>
      <c r="B39" s="47" t="s">
        <v>40</v>
      </c>
      <c r="C39" s="46">
        <v>52350.127099999998</v>
      </c>
      <c r="D39" s="46" t="s">
        <v>54</v>
      </c>
      <c r="E39">
        <f>+(C39-C$7)/C$8</f>
        <v>35792.662597771792</v>
      </c>
      <c r="F39">
        <f>ROUND(2*E39,0)/2</f>
        <v>35792.5</v>
      </c>
      <c r="G39">
        <f>+C39-(C$7+F39*C$8)</f>
        <v>5.148170000029495E-2</v>
      </c>
      <c r="K39">
        <f>+G39</f>
        <v>5.148170000029495E-2</v>
      </c>
      <c r="Q39" s="2">
        <f>+C39-15018.5</f>
        <v>37331.627099999998</v>
      </c>
    </row>
    <row r="40" spans="1:21" x14ac:dyDescent="0.2">
      <c r="A40" s="45" t="s">
        <v>112</v>
      </c>
      <c r="B40" s="47" t="s">
        <v>34</v>
      </c>
      <c r="C40" s="46">
        <v>52366.122000000003</v>
      </c>
      <c r="D40" s="46" t="s">
        <v>54</v>
      </c>
      <c r="E40">
        <f>+(C40-C$7)/C$8</f>
        <v>35843.180259387329</v>
      </c>
      <c r="F40">
        <f>ROUND(2*E40,0)/2</f>
        <v>35843</v>
      </c>
      <c r="G40">
        <f>+C40-(C$7+F40*C$8)</f>
        <v>5.7073720003245398E-2</v>
      </c>
      <c r="K40">
        <f>+G40</f>
        <v>5.7073720003245398E-2</v>
      </c>
      <c r="Q40" s="2">
        <f>+C40-15018.5</f>
        <v>37347.622000000003</v>
      </c>
    </row>
    <row r="41" spans="1:21" x14ac:dyDescent="0.2">
      <c r="A41" s="29" t="s">
        <v>35</v>
      </c>
      <c r="B41" s="28" t="s">
        <v>34</v>
      </c>
      <c r="C41" s="29">
        <v>52500.055</v>
      </c>
      <c r="D41" s="27"/>
      <c r="E41">
        <f>+(C41-C$7)/C$8</f>
        <v>36266.188966734764</v>
      </c>
      <c r="F41">
        <f>ROUND(2*E41,0)/2</f>
        <v>36266</v>
      </c>
      <c r="G41">
        <f>+C41-(C$7+F41*C$8)</f>
        <v>5.9830639998835977E-2</v>
      </c>
      <c r="H41">
        <f>+G41</f>
        <v>5.9830639998835977E-2</v>
      </c>
      <c r="Q41" s="2">
        <f>+C41-15018.5</f>
        <v>37481.555</v>
      </c>
    </row>
    <row r="42" spans="1:21" x14ac:dyDescent="0.2">
      <c r="A42" s="30" t="s">
        <v>43</v>
      </c>
      <c r="B42" s="31" t="s">
        <v>34</v>
      </c>
      <c r="C42" s="30">
        <v>53033.871200000001</v>
      </c>
      <c r="D42" s="30">
        <v>5.9999999999999995E-4</v>
      </c>
      <c r="E42">
        <f>+(C42-C$7)/C$8</f>
        <v>37952.173008928447</v>
      </c>
      <c r="F42">
        <f>ROUND(2*E42,0)/2</f>
        <v>37952</v>
      </c>
      <c r="G42">
        <f>+C42-(C$7+F42*C$8)</f>
        <v>5.4778080004325602E-2</v>
      </c>
      <c r="K42">
        <f>+G42</f>
        <v>5.4778080004325602E-2</v>
      </c>
      <c r="Q42" s="2">
        <f>+C42-15018.5</f>
        <v>38015.371200000001</v>
      </c>
    </row>
    <row r="43" spans="1:21" x14ac:dyDescent="0.2">
      <c r="A43" s="48" t="s">
        <v>39</v>
      </c>
      <c r="B43" s="28" t="s">
        <v>34</v>
      </c>
      <c r="C43" s="29">
        <v>53466.686900000001</v>
      </c>
      <c r="D43" s="29">
        <v>5.9999999999999995E-4</v>
      </c>
      <c r="E43">
        <f>+(C43-C$7)/C$8</f>
        <v>39319.161053522977</v>
      </c>
      <c r="F43">
        <f>ROUND(2*E43,0)/2</f>
        <v>39319</v>
      </c>
      <c r="G43">
        <f>+C43-(C$7+F43*C$8)</f>
        <v>5.0992760006920435E-2</v>
      </c>
      <c r="K43">
        <f>+G43</f>
        <v>5.0992760006920435E-2</v>
      </c>
      <c r="Q43" s="2">
        <f>+C43-15018.5</f>
        <v>38448.186900000001</v>
      </c>
    </row>
    <row r="44" spans="1:21" x14ac:dyDescent="0.2">
      <c r="A44" s="48" t="s">
        <v>39</v>
      </c>
      <c r="B44" s="28" t="s">
        <v>40</v>
      </c>
      <c r="C44" s="29">
        <v>53466.838900000002</v>
      </c>
      <c r="D44" s="29">
        <v>1.5E-3</v>
      </c>
      <c r="E44">
        <f>+(C44-C$7)/C$8</f>
        <v>39319.641124330898</v>
      </c>
      <c r="F44">
        <f>ROUND(2*E44,0)/2</f>
        <v>39319.5</v>
      </c>
      <c r="G44">
        <f>+C44-(C$7+F44*C$8)</f>
        <v>4.4682780004222877E-2</v>
      </c>
      <c r="K44">
        <f>+G44</f>
        <v>4.4682780004222877E-2</v>
      </c>
      <c r="Q44" s="2">
        <f>+C44-15018.5</f>
        <v>38448.338900000002</v>
      </c>
    </row>
    <row r="45" spans="1:21" x14ac:dyDescent="0.2">
      <c r="A45" s="48" t="s">
        <v>39</v>
      </c>
      <c r="B45" s="28" t="s">
        <v>34</v>
      </c>
      <c r="C45" s="29">
        <v>53468.592499999999</v>
      </c>
      <c r="D45" s="29">
        <v>1.2999999999999999E-3</v>
      </c>
      <c r="E45">
        <f>+(C45-C$7)/C$8</f>
        <v>39325.179625441182</v>
      </c>
      <c r="F45">
        <f>ROUND(2*E45,0)/2</f>
        <v>39325</v>
      </c>
      <c r="G45">
        <f>+C45-(C$7+F45*C$8)</f>
        <v>5.6873000001360197E-2</v>
      </c>
      <c r="K45">
        <f>+G45</f>
        <v>5.6873000001360197E-2</v>
      </c>
      <c r="Q45" s="2">
        <f>+C45-15018.5</f>
        <v>38450.092499999999</v>
      </c>
    </row>
    <row r="46" spans="1:21" x14ac:dyDescent="0.2">
      <c r="A46" s="48" t="s">
        <v>39</v>
      </c>
      <c r="B46" s="28" t="s">
        <v>40</v>
      </c>
      <c r="C46" s="29">
        <v>53468.748599999999</v>
      </c>
      <c r="D46" s="29">
        <v>1E-3</v>
      </c>
      <c r="E46">
        <f>+(C46-C$7)/C$8</f>
        <v>39325.672645527469</v>
      </c>
      <c r="F46">
        <f>ROUND(2*E46,0)/2</f>
        <v>39325.5</v>
      </c>
      <c r="G46">
        <f>+C46-(C$7+F46*C$8)</f>
        <v>5.4663020004227292E-2</v>
      </c>
      <c r="K46">
        <f>+G46</f>
        <v>5.4663020004227292E-2</v>
      </c>
      <c r="Q46" s="2">
        <f>+C46-15018.5</f>
        <v>38450.248599999999</v>
      </c>
    </row>
    <row r="47" spans="1:21" x14ac:dyDescent="0.2">
      <c r="A47" s="48" t="s">
        <v>39</v>
      </c>
      <c r="B47" s="28" t="s">
        <v>40</v>
      </c>
      <c r="C47" s="29">
        <v>53469.696300000003</v>
      </c>
      <c r="D47" s="29">
        <v>5.0000000000000001E-4</v>
      </c>
      <c r="E47">
        <f>+(C47-C$7)/C$8</f>
        <v>39328.665823847638</v>
      </c>
      <c r="F47">
        <f>ROUND(2*E47,0)/2</f>
        <v>39328.5</v>
      </c>
      <c r="G47">
        <f>+C47-(C$7+F47*C$8)</f>
        <v>5.2503140002954751E-2</v>
      </c>
      <c r="K47">
        <f>+G47</f>
        <v>5.2503140002954751E-2</v>
      </c>
      <c r="Q47" s="2">
        <f>+C47-15018.5</f>
        <v>38451.196300000003</v>
      </c>
    </row>
    <row r="48" spans="1:21" x14ac:dyDescent="0.2">
      <c r="A48" s="48" t="s">
        <v>39</v>
      </c>
      <c r="B48" s="28" t="s">
        <v>40</v>
      </c>
      <c r="C48" s="29">
        <v>53470.652300000002</v>
      </c>
      <c r="D48" s="29">
        <v>8.9999999999999998E-4</v>
      </c>
      <c r="E48">
        <f>+(C48-C$7)/C$8</f>
        <v>39331.685216560589</v>
      </c>
      <c r="F48">
        <f>ROUND(2*E48,0)/2</f>
        <v>39331.5</v>
      </c>
      <c r="G48">
        <f>+C48-(C$7+F48*C$8)</f>
        <v>5.8643260003009345E-2</v>
      </c>
      <c r="K48">
        <f>+G48</f>
        <v>5.8643260003009345E-2</v>
      </c>
      <c r="Q48" s="2">
        <f>+C48-15018.5</f>
        <v>38452.152300000002</v>
      </c>
    </row>
    <row r="49" spans="1:17" x14ac:dyDescent="0.2">
      <c r="A49" s="48" t="s">
        <v>39</v>
      </c>
      <c r="B49" s="28" t="s">
        <v>40</v>
      </c>
      <c r="C49" s="29">
        <v>53471.591999999997</v>
      </c>
      <c r="D49" s="29">
        <v>1E-3</v>
      </c>
      <c r="E49">
        <f>+(C49-C$7)/C$8</f>
        <v>39334.653127996098</v>
      </c>
      <c r="F49">
        <f>ROUND(2*E49,0)/2</f>
        <v>39334.5</v>
      </c>
      <c r="G49">
        <f>+C49-(C$7+F49*C$8)</f>
        <v>4.848338000010699E-2</v>
      </c>
      <c r="K49">
        <f>+G49</f>
        <v>4.848338000010699E-2</v>
      </c>
      <c r="Q49" s="2">
        <f>+C49-15018.5</f>
        <v>38453.091999999997</v>
      </c>
    </row>
    <row r="50" spans="1:17" x14ac:dyDescent="0.2">
      <c r="A50" s="48" t="s">
        <v>39</v>
      </c>
      <c r="B50" s="28" t="s">
        <v>34</v>
      </c>
      <c r="C50" s="29">
        <v>53471.756999999998</v>
      </c>
      <c r="D50" s="29">
        <v>8.0000000000000004E-4</v>
      </c>
      <c r="E50">
        <f>+(C50-C$7)/C$8</f>
        <v>39335.174257491533</v>
      </c>
      <c r="F50">
        <f>ROUND(2*E50,0)/2</f>
        <v>39335</v>
      </c>
      <c r="G50">
        <f>+C50-(C$7+F50*C$8)</f>
        <v>5.5173400003695861E-2</v>
      </c>
      <c r="K50">
        <f>+G50</f>
        <v>5.5173400003695861E-2</v>
      </c>
      <c r="Q50" s="2">
        <f>+C50-15018.5</f>
        <v>38453.256999999998</v>
      </c>
    </row>
    <row r="51" spans="1:17" x14ac:dyDescent="0.2">
      <c r="A51" s="48" t="s">
        <v>39</v>
      </c>
      <c r="B51" s="28" t="s">
        <v>34</v>
      </c>
      <c r="C51" s="29">
        <v>53473.659599999999</v>
      </c>
      <c r="D51" s="29">
        <v>8.9999999999999998E-4</v>
      </c>
      <c r="E51">
        <f>+(C51-C$7)/C$8</f>
        <v>39341.183354328015</v>
      </c>
      <c r="F51">
        <f>ROUND(2*E51,0)/2</f>
        <v>39341</v>
      </c>
      <c r="G51">
        <f>+C51-(C$7+F51*C$8)</f>
        <v>5.8053640001162421E-2</v>
      </c>
      <c r="K51">
        <f>+G51</f>
        <v>5.8053640001162421E-2</v>
      </c>
      <c r="Q51" s="2">
        <f>+C51-15018.5</f>
        <v>38455.159599999999</v>
      </c>
    </row>
    <row r="52" spans="1:17" x14ac:dyDescent="0.2">
      <c r="A52" s="48" t="s">
        <v>39</v>
      </c>
      <c r="B52" s="28" t="s">
        <v>34</v>
      </c>
      <c r="C52" s="29">
        <v>53474.599900000001</v>
      </c>
      <c r="D52" s="29">
        <v>6.9999999999999999E-4</v>
      </c>
      <c r="E52">
        <f>+(C52-C$7)/C$8</f>
        <v>39344.15316077989</v>
      </c>
      <c r="F52">
        <f>ROUND(2*E52,0)/2</f>
        <v>39344</v>
      </c>
      <c r="G52">
        <f>+C52-(C$7+F52*C$8)</f>
        <v>4.8493760004930664E-2</v>
      </c>
      <c r="K52">
        <f>+G52</f>
        <v>4.8493760004930664E-2</v>
      </c>
      <c r="O52">
        <f ca="1">+C$11+C$12*$F52</f>
        <v>9.4686514059571569E-2</v>
      </c>
      <c r="Q52" s="2">
        <f>+C52-15018.5</f>
        <v>38456.099900000001</v>
      </c>
    </row>
    <row r="53" spans="1:17" x14ac:dyDescent="0.2">
      <c r="A53" s="48" t="s">
        <v>39</v>
      </c>
      <c r="B53" s="28" t="s">
        <v>40</v>
      </c>
      <c r="C53" s="29">
        <v>53474.758099999999</v>
      </c>
      <c r="D53" s="29">
        <v>1.1999999999999999E-3</v>
      </c>
      <c r="E53">
        <f>+(C53-C$7)/C$8</f>
        <v>39344.652813423389</v>
      </c>
      <c r="F53">
        <f>ROUND(2*E53,0)/2</f>
        <v>39344.5</v>
      </c>
      <c r="G53">
        <f>+C53-(C$7+F53*C$8)</f>
        <v>4.8383780005679E-2</v>
      </c>
      <c r="K53">
        <f>+G53</f>
        <v>4.8383780005679E-2</v>
      </c>
      <c r="O53">
        <f ca="1">+C$11+C$12*$F53</f>
        <v>9.4681134013535007E-2</v>
      </c>
      <c r="Q53" s="2">
        <f>+C53-15018.5</f>
        <v>38456.258099999999</v>
      </c>
    </row>
    <row r="54" spans="1:17" x14ac:dyDescent="0.2">
      <c r="A54" s="48" t="s">
        <v>39</v>
      </c>
      <c r="B54" s="28" t="s">
        <v>34</v>
      </c>
      <c r="C54" s="29">
        <v>53475.5533</v>
      </c>
      <c r="D54" s="29">
        <v>1.2999999999999999E-3</v>
      </c>
      <c r="E54">
        <f>+(C54-C$7)/C$8</f>
        <v>39347.164341755342</v>
      </c>
      <c r="F54">
        <f>ROUND(2*E54,0)/2</f>
        <v>39347</v>
      </c>
      <c r="G54">
        <f>+C54-(C$7+F54*C$8)</f>
        <v>5.2033879997907206E-2</v>
      </c>
      <c r="K54">
        <f>+G54</f>
        <v>5.2033879997907206E-2</v>
      </c>
      <c r="O54">
        <f ca="1">+C$11+C$12*$F54</f>
        <v>9.4654233783352248E-2</v>
      </c>
      <c r="Q54" s="2">
        <f>+C54-15018.5</f>
        <v>38457.0533</v>
      </c>
    </row>
    <row r="55" spans="1:17" x14ac:dyDescent="0.2">
      <c r="A55" s="48" t="s">
        <v>39</v>
      </c>
      <c r="B55" s="28" t="s">
        <v>40</v>
      </c>
      <c r="C55" s="29">
        <v>53477.607400000001</v>
      </c>
      <c r="D55" s="29">
        <v>8.0000000000000004E-4</v>
      </c>
      <c r="E55">
        <f>+(C55-C$7)/C$8</f>
        <v>39353.651930219443</v>
      </c>
      <c r="F55">
        <f>ROUND(2*E55,0)/2</f>
        <v>39353.5</v>
      </c>
      <c r="G55">
        <f>+C55-(C$7+F55*C$8)</f>
        <v>4.8104140005307272E-2</v>
      </c>
      <c r="K55">
        <f>+G55</f>
        <v>4.8104140005307272E-2</v>
      </c>
      <c r="O55">
        <f ca="1">+C$11+C$12*$F55</f>
        <v>9.4584293184876989E-2</v>
      </c>
      <c r="Q55" s="2">
        <f>+C55-15018.5</f>
        <v>38459.107400000001</v>
      </c>
    </row>
    <row r="56" spans="1:17" x14ac:dyDescent="0.2">
      <c r="A56" s="48" t="s">
        <v>39</v>
      </c>
      <c r="B56" s="28" t="s">
        <v>34</v>
      </c>
      <c r="C56" s="29">
        <v>53477.772199999999</v>
      </c>
      <c r="D56" s="29">
        <v>1.2999999999999999E-3</v>
      </c>
      <c r="E56">
        <f>+(C56-C$7)/C$8</f>
        <v>39354.172428042759</v>
      </c>
      <c r="F56">
        <f>ROUND(2*E56,0)/2</f>
        <v>39354</v>
      </c>
      <c r="G56">
        <f>+C56-(C$7+F56*C$8)</f>
        <v>5.4594159999396652E-2</v>
      </c>
      <c r="K56">
        <f>+G56</f>
        <v>5.4594159999396652E-2</v>
      </c>
      <c r="O56">
        <f ca="1">+C$11+C$12*$F56</f>
        <v>9.4578913138840426E-2</v>
      </c>
      <c r="Q56" s="2">
        <f>+C56-15018.5</f>
        <v>38459.272199999999</v>
      </c>
    </row>
    <row r="57" spans="1:17" x14ac:dyDescent="0.2">
      <c r="A57" s="48" t="s">
        <v>39</v>
      </c>
      <c r="B57" s="28" t="s">
        <v>40</v>
      </c>
      <c r="C57" s="29">
        <v>53478.563399999999</v>
      </c>
      <c r="D57" s="29">
        <v>5.9999999999999995E-4</v>
      </c>
      <c r="E57">
        <f>+(C57-C$7)/C$8</f>
        <v>39356.671322932394</v>
      </c>
      <c r="F57">
        <f>ROUND(2*E57,0)/2</f>
        <v>39356.5</v>
      </c>
      <c r="G57">
        <f>+C57-(C$7+F57*C$8)</f>
        <v>5.4244259998085909E-2</v>
      </c>
      <c r="K57">
        <f>+G57</f>
        <v>5.4244259998085909E-2</v>
      </c>
      <c r="O57">
        <f ca="1">+C$11+C$12*$F57</f>
        <v>9.4552012908657668E-2</v>
      </c>
      <c r="Q57" s="2">
        <f>+C57-15018.5</f>
        <v>38460.063399999999</v>
      </c>
    </row>
    <row r="58" spans="1:17" x14ac:dyDescent="0.2">
      <c r="A58" s="48" t="s">
        <v>39</v>
      </c>
      <c r="B58" s="28" t="s">
        <v>34</v>
      </c>
      <c r="C58" s="29">
        <v>53478.724999999999</v>
      </c>
      <c r="D58" s="29">
        <v>4.0000000000000002E-4</v>
      </c>
      <c r="E58">
        <f>+(C58-C$7)/C$8</f>
        <v>39357.181714001861</v>
      </c>
      <c r="F58">
        <f>ROUND(2*E58,0)/2</f>
        <v>39357</v>
      </c>
      <c r="G58">
        <f>+C58-(C$7+F58*C$8)</f>
        <v>5.7534280000254512E-2</v>
      </c>
      <c r="K58">
        <f>+G58</f>
        <v>5.7534280000254512E-2</v>
      </c>
      <c r="O58">
        <f ca="1">+C$11+C$12*$F58</f>
        <v>9.4546632862621105E-2</v>
      </c>
      <c r="Q58" s="2">
        <f>+C58-15018.5</f>
        <v>38460.224999999999</v>
      </c>
    </row>
    <row r="59" spans="1:17" x14ac:dyDescent="0.2">
      <c r="A59" s="48" t="s">
        <v>39</v>
      </c>
      <c r="B59" s="28" t="s">
        <v>34</v>
      </c>
      <c r="C59" s="29">
        <v>53480.623599999999</v>
      </c>
      <c r="D59" s="29">
        <v>8.9999999999999998E-4</v>
      </c>
      <c r="E59">
        <f>+(C59-C$7)/C$8</f>
        <v>39363.178177396025</v>
      </c>
      <c r="F59">
        <f>ROUND(2*E59,0)/2</f>
        <v>39363</v>
      </c>
      <c r="G59">
        <f>+C59-(C$7+F59*C$8)</f>
        <v>5.6414519996906165E-2</v>
      </c>
      <c r="K59">
        <f>+G59</f>
        <v>5.6414519996906165E-2</v>
      </c>
      <c r="O59">
        <f ca="1">+C$11+C$12*$F59</f>
        <v>9.4482072310182408E-2</v>
      </c>
      <c r="Q59" s="2">
        <f>+C59-15018.5</f>
        <v>38462.123599999999</v>
      </c>
    </row>
    <row r="60" spans="1:17" x14ac:dyDescent="0.2">
      <c r="A60" s="48" t="s">
        <v>39</v>
      </c>
      <c r="B60" s="28" t="s">
        <v>40</v>
      </c>
      <c r="C60" s="29">
        <v>53480.779699999999</v>
      </c>
      <c r="D60" s="29">
        <v>5.0000000000000001E-4</v>
      </c>
      <c r="E60">
        <f>+(C60-C$7)/C$8</f>
        <v>39363.671197482312</v>
      </c>
      <c r="F60">
        <f>ROUND(2*E60,0)/2</f>
        <v>39363.5</v>
      </c>
      <c r="G60">
        <f>+C60-(C$7+F60*C$8)</f>
        <v>5.420453999977326E-2</v>
      </c>
      <c r="K60">
        <f>+G60</f>
        <v>5.420453999977326E-2</v>
      </c>
      <c r="O60">
        <f ca="1">+C$11+C$12*$F60</f>
        <v>9.4476692264145845E-2</v>
      </c>
      <c r="Q60" s="2">
        <f>+C60-15018.5</f>
        <v>38462.279699999999</v>
      </c>
    </row>
    <row r="61" spans="1:17" x14ac:dyDescent="0.2">
      <c r="A61" s="48" t="s">
        <v>39</v>
      </c>
      <c r="B61" s="28" t="s">
        <v>34</v>
      </c>
      <c r="C61" s="29">
        <v>53504.684399999998</v>
      </c>
      <c r="D61" s="29">
        <v>1.1000000000000001E-3</v>
      </c>
      <c r="E61">
        <f>+(C61-C$7)/C$8</f>
        <v>39439.17085960089</v>
      </c>
      <c r="F61">
        <f>ROUND(2*E61,0)/2</f>
        <v>39439</v>
      </c>
      <c r="G61">
        <f>+C61-(C$7+F61*C$8)</f>
        <v>5.4097560001537204E-2</v>
      </c>
      <c r="K61">
        <f>+G61</f>
        <v>5.4097560001537204E-2</v>
      </c>
      <c r="O61">
        <f ca="1">+C$11+C$12*$F61</f>
        <v>9.3664305312625817E-2</v>
      </c>
      <c r="Q61" s="2">
        <f>+C61-15018.5</f>
        <v>38486.184399999998</v>
      </c>
    </row>
    <row r="62" spans="1:17" x14ac:dyDescent="0.2">
      <c r="A62" s="45" t="s">
        <v>204</v>
      </c>
      <c r="B62" s="47" t="s">
        <v>34</v>
      </c>
      <c r="C62" s="46">
        <v>53797.2376</v>
      </c>
      <c r="D62" s="46" t="s">
        <v>54</v>
      </c>
      <c r="E62">
        <f>+(C62-C$7)/C$8</f>
        <v>40363.159353566982</v>
      </c>
      <c r="F62">
        <f>ROUND(2*E62,0)/2</f>
        <v>40363</v>
      </c>
      <c r="G62">
        <f>+C62-(C$7+F62*C$8)</f>
        <v>5.0454520001949277E-2</v>
      </c>
      <c r="K62">
        <f>+G62</f>
        <v>5.0454520001949277E-2</v>
      </c>
      <c r="O62">
        <f ca="1">+C$11+C$12*$F62</f>
        <v>8.3721980237069005E-2</v>
      </c>
      <c r="Q62" s="2">
        <f>+C62-15018.5</f>
        <v>38778.7376</v>
      </c>
    </row>
    <row r="63" spans="1:17" x14ac:dyDescent="0.2">
      <c r="A63" s="45" t="s">
        <v>204</v>
      </c>
      <c r="B63" s="47" t="s">
        <v>40</v>
      </c>
      <c r="C63" s="46">
        <v>53799.295400000003</v>
      </c>
      <c r="D63" s="46" t="s">
        <v>54</v>
      </c>
      <c r="E63">
        <f>+(C63-C$7)/C$8</f>
        <v>40369.658627965226</v>
      </c>
      <c r="F63">
        <f>ROUND(2*E63,0)/2</f>
        <v>40369.5</v>
      </c>
      <c r="G63">
        <f>+C63-(C$7+F63*C$8)</f>
        <v>5.0224780003190972E-2</v>
      </c>
      <c r="K63">
        <f>+G63</f>
        <v>5.0224780003190972E-2</v>
      </c>
      <c r="O63">
        <f ca="1">+C$11+C$12*$F63</f>
        <v>8.3652039638593745E-2</v>
      </c>
      <c r="Q63" s="2">
        <f>+C63-15018.5</f>
        <v>38780.795400000003</v>
      </c>
    </row>
    <row r="64" spans="1:17" x14ac:dyDescent="0.2">
      <c r="A64" s="45" t="s">
        <v>204</v>
      </c>
      <c r="B64" s="47" t="s">
        <v>40</v>
      </c>
      <c r="C64" s="46">
        <v>53809.111400000002</v>
      </c>
      <c r="D64" s="46" t="s">
        <v>54</v>
      </c>
      <c r="E64">
        <f>+(C64-C$7)/C$8</f>
        <v>40400.661095402844</v>
      </c>
      <c r="F64">
        <f>ROUND(2*E64,0)/2</f>
        <v>40400.5</v>
      </c>
      <c r="G64">
        <f>+C64-(C$7+F64*C$8)</f>
        <v>5.1006020003114827E-2</v>
      </c>
      <c r="K64">
        <f>+G64</f>
        <v>5.1006020003114827E-2</v>
      </c>
      <c r="O64">
        <f ca="1">+C$11+C$12*$F64</f>
        <v>8.3318476784327244E-2</v>
      </c>
      <c r="Q64" s="2">
        <f>+C64-15018.5</f>
        <v>38790.611400000002</v>
      </c>
    </row>
    <row r="65" spans="1:21" x14ac:dyDescent="0.2">
      <c r="A65" s="45" t="s">
        <v>219</v>
      </c>
      <c r="B65" s="47" t="s">
        <v>40</v>
      </c>
      <c r="C65" s="46">
        <v>54135.231</v>
      </c>
      <c r="D65" s="46" t="s">
        <v>54</v>
      </c>
      <c r="E65">
        <f>+(C65-C$7)/C$8</f>
        <v>41430.664383887874</v>
      </c>
      <c r="F65">
        <f>ROUND(2*E65,0)/2</f>
        <v>41430.5</v>
      </c>
      <c r="G65">
        <f>+C65-(C$7+F65*C$8)</f>
        <v>5.2047220000531524E-2</v>
      </c>
      <c r="K65">
        <f>+G65</f>
        <v>5.2047220000531524E-2</v>
      </c>
      <c r="O65">
        <f ca="1">+C$11+C$12*$F65</f>
        <v>7.2235581949020411E-2</v>
      </c>
      <c r="Q65" s="2">
        <f>+C65-15018.5</f>
        <v>39116.731</v>
      </c>
    </row>
    <row r="66" spans="1:21" x14ac:dyDescent="0.2">
      <c r="A66" s="45" t="s">
        <v>224</v>
      </c>
      <c r="B66" s="47" t="s">
        <v>40</v>
      </c>
      <c r="C66" s="46">
        <v>56396.0242</v>
      </c>
      <c r="D66" s="46" t="s">
        <v>54</v>
      </c>
      <c r="E66">
        <f>+(C66-C$7)/C$8</f>
        <v>48571.06450269276</v>
      </c>
      <c r="F66">
        <f>ROUND(2*E66,0)/2</f>
        <v>48571</v>
      </c>
      <c r="G66">
        <f>+C66-(C$7+F66*C$8)</f>
        <v>2.0422840003448073E-2</v>
      </c>
      <c r="K66">
        <f>+G66</f>
        <v>2.0422840003448073E-2</v>
      </c>
      <c r="O66">
        <f ca="1">+C$11+C$12*$F66</f>
        <v>-4.596855499045982E-3</v>
      </c>
      <c r="Q66" s="2">
        <f>+C66-15018.5</f>
        <v>41377.5242</v>
      </c>
    </row>
    <row r="67" spans="1:21" x14ac:dyDescent="0.2">
      <c r="A67" s="54" t="s">
        <v>225</v>
      </c>
      <c r="B67" s="55" t="s">
        <v>40</v>
      </c>
      <c r="C67" s="56">
        <v>57513.641499999998</v>
      </c>
      <c r="D67" s="56">
        <v>2.9999999999999997E-4</v>
      </c>
      <c r="E67">
        <f>+(C67-C$7)/C$8</f>
        <v>52100.902924755595</v>
      </c>
      <c r="F67">
        <f>ROUND(2*E67,0)/2</f>
        <v>52101</v>
      </c>
      <c r="G67">
        <f>+C67-(C$7+F67*C$8)</f>
        <v>-3.0735959997400641E-2</v>
      </c>
      <c r="K67">
        <f>+G67</f>
        <v>-3.0735959997400641E-2</v>
      </c>
      <c r="O67">
        <f ca="1">+C$11+C$12*$F67</f>
        <v>-4.2579980517136407E-2</v>
      </c>
      <c r="Q67" s="2">
        <f>+C67-15018.5</f>
        <v>42495.141499999998</v>
      </c>
    </row>
    <row r="68" spans="1:21" x14ac:dyDescent="0.2">
      <c r="A68" s="49" t="s">
        <v>0</v>
      </c>
      <c r="B68" s="50" t="s">
        <v>34</v>
      </c>
      <c r="C68" s="51">
        <v>57863.489000000001</v>
      </c>
      <c r="D68" s="52">
        <v>2E-3</v>
      </c>
      <c r="E68">
        <f>+(C68-C$7)/C$8</f>
        <v>53205.847477208968</v>
      </c>
      <c r="F68">
        <f>ROUND(2*E68,0)/2</f>
        <v>53206</v>
      </c>
      <c r="G68">
        <f>+C68-(C$7+F68*C$8)</f>
        <v>-4.8291759994754102E-2</v>
      </c>
      <c r="K68">
        <f>+G68</f>
        <v>-4.8291759994754102E-2</v>
      </c>
      <c r="O68">
        <f ca="1">+C$11+C$12*$F68</f>
        <v>-5.4469882257926705E-2</v>
      </c>
      <c r="Q68" s="2">
        <f>+C68-15018.5</f>
        <v>42844.989000000001</v>
      </c>
    </row>
    <row r="69" spans="1:21" x14ac:dyDescent="0.2">
      <c r="A69" s="49" t="s">
        <v>0</v>
      </c>
      <c r="B69" s="50" t="s">
        <v>40</v>
      </c>
      <c r="C69" s="51">
        <v>57863.646000000001</v>
      </c>
      <c r="D69" s="52">
        <v>4.0000000000000001E-3</v>
      </c>
      <c r="E69">
        <f>+(C69-C$7)/C$8</f>
        <v>53206.343339819774</v>
      </c>
      <c r="F69">
        <f>ROUND(2*E69,0)/2</f>
        <v>53206.5</v>
      </c>
      <c r="G69">
        <f>+C69-(C$7+F69*C$8)</f>
        <v>-4.9601739992795046E-2</v>
      </c>
      <c r="K69">
        <f>+G69</f>
        <v>-4.9601739992795046E-2</v>
      </c>
      <c r="O69">
        <f ca="1">+C$11+C$12*$F69</f>
        <v>-5.4475262303963268E-2</v>
      </c>
      <c r="Q69" s="2">
        <f>+C69-15018.5</f>
        <v>42845.146000000001</v>
      </c>
    </row>
    <row r="70" spans="1:21" x14ac:dyDescent="0.2">
      <c r="A70" s="57" t="s">
        <v>226</v>
      </c>
      <c r="B70" s="58" t="s">
        <v>34</v>
      </c>
      <c r="C70" s="59">
        <v>58246.741399999999</v>
      </c>
      <c r="D70" s="59">
        <v>2.0000000000000001E-4</v>
      </c>
      <c r="E70">
        <f>+(C70-C$7)/C$8</f>
        <v>54416.296748947861</v>
      </c>
      <c r="F70" s="63">
        <f>ROUND(2*E70,0)/2+0.5</f>
        <v>54417</v>
      </c>
      <c r="O70">
        <f ca="1">+C$11+C$12*$F70</f>
        <v>-6.750035375846708E-2</v>
      </c>
      <c r="Q70" s="2">
        <f>+C70-15018.5</f>
        <v>43228.241399999999</v>
      </c>
      <c r="U70">
        <f>+C70-(C$7+F70*C$8)</f>
        <v>-0.222663319997082</v>
      </c>
    </row>
    <row r="71" spans="1:21" x14ac:dyDescent="0.2">
      <c r="A71" s="57" t="s">
        <v>226</v>
      </c>
      <c r="B71" s="58" t="s">
        <v>34</v>
      </c>
      <c r="C71" s="59">
        <v>58255.606699999997</v>
      </c>
      <c r="D71" s="59">
        <v>2.9999999999999997E-4</v>
      </c>
      <c r="E71">
        <f>+(C71-C$7)/C$8</f>
        <v>54444.296562983582</v>
      </c>
      <c r="F71" s="63">
        <f>ROUND(2*E71,0)/2+0.5</f>
        <v>54445</v>
      </c>
      <c r="O71">
        <f ca="1">+C$11+C$12*$F71</f>
        <v>-6.7801636336514259E-2</v>
      </c>
      <c r="Q71" s="2">
        <f>+C71-15018.5</f>
        <v>43237.106699999997</v>
      </c>
      <c r="U71">
        <f>+C71-(C$7+F71*C$8)</f>
        <v>-0.22272220000013476</v>
      </c>
    </row>
    <row r="72" spans="1:21" x14ac:dyDescent="0.2">
      <c r="A72" s="57" t="s">
        <v>228</v>
      </c>
      <c r="B72" s="58" t="s">
        <v>34</v>
      </c>
      <c r="C72" s="59">
        <v>58505.254500000003</v>
      </c>
      <c r="D72" s="59" t="s">
        <v>229</v>
      </c>
      <c r="E72">
        <f>+(C72-C$7)/C$8</f>
        <v>55232.774332989007</v>
      </c>
      <c r="F72" s="63">
        <f>ROUND(2*E72,0)/2+0.5</f>
        <v>55233.5</v>
      </c>
      <c r="O72">
        <f ca="1">+C$11+C$12*$F72</f>
        <v>-7.6285968936164239E-2</v>
      </c>
      <c r="Q72" s="2">
        <f>+C72-15018.5</f>
        <v>43486.754500000003</v>
      </c>
      <c r="U72">
        <f>+C72-(C$7+F72*C$8)</f>
        <v>-0.2297606599968276</v>
      </c>
    </row>
    <row r="73" spans="1:21" x14ac:dyDescent="0.2">
      <c r="A73" s="57" t="s">
        <v>227</v>
      </c>
      <c r="B73" s="58" t="s">
        <v>40</v>
      </c>
      <c r="C73" s="59">
        <v>58598.648800000003</v>
      </c>
      <c r="D73" s="59">
        <v>2.9999999999999997E-4</v>
      </c>
      <c r="E73">
        <f>+(C73-C$7)/C$8</f>
        <v>55527.747208356683</v>
      </c>
      <c r="F73" s="63">
        <f>ROUND(2*E73,0)/2+0.5</f>
        <v>55528</v>
      </c>
      <c r="G73">
        <f>+C73-(C$7+F73*C$8)</f>
        <v>-8.0038879990752321E-2</v>
      </c>
      <c r="K73">
        <f>+G73</f>
        <v>-8.0038879990752321E-2</v>
      </c>
      <c r="O73">
        <f ca="1">+C$11+C$12*$F73</f>
        <v>-7.9454816051696131E-2</v>
      </c>
      <c r="Q73" s="2">
        <f>+C73-15018.5</f>
        <v>43580.148800000003</v>
      </c>
    </row>
    <row r="74" spans="1:21" x14ac:dyDescent="0.2">
      <c r="A74" s="57" t="s">
        <v>227</v>
      </c>
      <c r="B74" s="58" t="s">
        <v>40</v>
      </c>
      <c r="C74" s="59">
        <v>58634.761200000001</v>
      </c>
      <c r="D74" s="59">
        <v>8.0000000000000004E-4</v>
      </c>
      <c r="E74">
        <f>+(C74-C$7)/C$8</f>
        <v>55641.803188908256</v>
      </c>
      <c r="F74" s="63">
        <f>ROUND(2*E74,0)/2+0.5</f>
        <v>55642.5</v>
      </c>
      <c r="O74">
        <f ca="1">+C$11+C$12*$F74</f>
        <v>-8.0686846594067552E-2</v>
      </c>
      <c r="Q74" s="2">
        <f>+C74-15018.5</f>
        <v>43616.261200000001</v>
      </c>
      <c r="U74">
        <f>+C74-(C$7+F74*C$8)</f>
        <v>-0.22062429999641608</v>
      </c>
    </row>
    <row r="75" spans="1:21" x14ac:dyDescent="0.2">
      <c r="A75" s="60" t="s">
        <v>230</v>
      </c>
      <c r="B75" s="61" t="s">
        <v>40</v>
      </c>
      <c r="C75" s="62">
        <v>58927.1276</v>
      </c>
      <c r="D75" s="62" t="s">
        <v>231</v>
      </c>
      <c r="E75">
        <f>+(C75-C$7)/C$8</f>
        <v>56565.201701118283</v>
      </c>
      <c r="F75" s="63">
        <f>ROUND(2*E75,0)/2+0.5</f>
        <v>56565.5</v>
      </c>
      <c r="G75">
        <f>+C75-(C$7+F75*C$8)</f>
        <v>-9.4447379997291137E-2</v>
      </c>
      <c r="K75">
        <f>+G75</f>
        <v>-9.4447379997291137E-2</v>
      </c>
      <c r="O75">
        <f ca="1">+C$11+C$12*$F75</f>
        <v>-9.0618411577551239E-2</v>
      </c>
      <c r="Q75" s="2">
        <f>+C75-15018.5</f>
        <v>43908.6276</v>
      </c>
    </row>
    <row r="76" spans="1:21" x14ac:dyDescent="0.2">
      <c r="A76" s="60" t="s">
        <v>230</v>
      </c>
      <c r="B76" s="61" t="s">
        <v>40</v>
      </c>
      <c r="C76" s="62">
        <v>58927.127899999999</v>
      </c>
      <c r="D76" s="62" t="s">
        <v>217</v>
      </c>
      <c r="E76">
        <f>+(C76-C$7)/C$8</f>
        <v>56565.202648626451</v>
      </c>
      <c r="F76" s="63">
        <f>ROUND(2*E76,0)/2+0.5</f>
        <v>56565.5</v>
      </c>
      <c r="G76">
        <f>+C76-(C$7+F76*C$8)</f>
        <v>-9.4147379997593816E-2</v>
      </c>
      <c r="K76">
        <f>+G76</f>
        <v>-9.4147379997593816E-2</v>
      </c>
      <c r="O76">
        <f ca="1">+C$11+C$12*$F76</f>
        <v>-9.0618411577551239E-2</v>
      </c>
      <c r="Q76" s="2">
        <f>+C76-15018.5</f>
        <v>43908.627899999999</v>
      </c>
    </row>
    <row r="77" spans="1:21" x14ac:dyDescent="0.2">
      <c r="A77" s="60" t="s">
        <v>230</v>
      </c>
      <c r="B77" s="61" t="s">
        <v>40</v>
      </c>
      <c r="C77" s="62">
        <v>58927.128599999996</v>
      </c>
      <c r="D77" s="62" t="s">
        <v>232</v>
      </c>
      <c r="E77">
        <f>+(C77-C$7)/C$8</f>
        <v>56565.20485947885</v>
      </c>
      <c r="F77" s="63">
        <f>ROUND(2*E77,0)/2+0.5</f>
        <v>56565.5</v>
      </c>
      <c r="G77">
        <f>+C77-(C$7+F77*C$8)</f>
        <v>-9.3447380000725389E-2</v>
      </c>
      <c r="K77">
        <f>+G77</f>
        <v>-9.3447380000725389E-2</v>
      </c>
      <c r="O77">
        <f ca="1">+C$11+C$12*$F77</f>
        <v>-9.0618411577551239E-2</v>
      </c>
      <c r="Q77" s="2">
        <f>+C77-15018.5</f>
        <v>43908.628599999996</v>
      </c>
    </row>
    <row r="78" spans="1:21" x14ac:dyDescent="0.2">
      <c r="A78" s="60" t="s">
        <v>230</v>
      </c>
      <c r="B78" s="61" t="s">
        <v>34</v>
      </c>
      <c r="C78" s="62">
        <v>58957.9974</v>
      </c>
      <c r="D78" s="62" t="s">
        <v>231</v>
      </c>
      <c r="E78">
        <f>+(C78-C$7)/C$8</f>
        <v>56662.699660501516</v>
      </c>
      <c r="F78" s="63">
        <f>ROUND(2*E78,0)/2+0.5</f>
        <v>56663</v>
      </c>
      <c r="G78">
        <f>+C78-(C$7+F78*C$8)</f>
        <v>-9.5093479998467956E-2</v>
      </c>
      <c r="K78">
        <f>+G78</f>
        <v>-9.5093479998467956E-2</v>
      </c>
      <c r="O78">
        <f ca="1">+C$11+C$12*$F78</f>
        <v>-9.166752055467986E-2</v>
      </c>
      <c r="Q78" s="2">
        <f>+C78-15018.5</f>
        <v>43939.4974</v>
      </c>
    </row>
    <row r="79" spans="1:21" ht="12" customHeight="1" x14ac:dyDescent="0.2">
      <c r="A79" s="60" t="s">
        <v>230</v>
      </c>
      <c r="B79" s="61" t="s">
        <v>34</v>
      </c>
      <c r="C79" s="62">
        <v>58957.998</v>
      </c>
      <c r="D79" s="62" t="s">
        <v>53</v>
      </c>
      <c r="E79">
        <f>+(C79-C$7)/C$8</f>
        <v>56662.701555517859</v>
      </c>
      <c r="F79" s="63">
        <f>ROUND(2*E79,0)/2+0.5</f>
        <v>56663</v>
      </c>
      <c r="G79">
        <f>+C79-(C$7+F79*C$8)</f>
        <v>-9.4493479999073315E-2</v>
      </c>
      <c r="K79">
        <f>+G79</f>
        <v>-9.4493479999073315E-2</v>
      </c>
      <c r="O79">
        <f ca="1">+C$11+C$12*$F79</f>
        <v>-9.166752055467986E-2</v>
      </c>
      <c r="Q79" s="2">
        <f>+C79-15018.5</f>
        <v>43939.498</v>
      </c>
    </row>
    <row r="80" spans="1:21" ht="12" customHeight="1" x14ac:dyDescent="0.2">
      <c r="A80" s="60" t="s">
        <v>230</v>
      </c>
      <c r="B80" s="61" t="s">
        <v>34</v>
      </c>
      <c r="C80" s="62">
        <v>58958.000500000002</v>
      </c>
      <c r="D80" s="62" t="s">
        <v>217</v>
      </c>
      <c r="E80">
        <f>+(C80-C$7)/C$8</f>
        <v>56662.709451419309</v>
      </c>
      <c r="F80" s="63">
        <f>ROUND(2*E80,0)/2+0.5</f>
        <v>56663</v>
      </c>
      <c r="G80">
        <f>+C80-(C$7+F80*C$8)</f>
        <v>-9.1993479996745009E-2</v>
      </c>
      <c r="K80">
        <f>+G80</f>
        <v>-9.1993479996745009E-2</v>
      </c>
      <c r="O80">
        <f ca="1">+C$11+C$12*$F80</f>
        <v>-9.166752055467986E-2</v>
      </c>
      <c r="Q80" s="2">
        <f>+C80-15018.5</f>
        <v>43939.500500000002</v>
      </c>
    </row>
    <row r="81" spans="1:17" ht="12" customHeight="1" x14ac:dyDescent="0.2">
      <c r="A81" s="60" t="s">
        <v>230</v>
      </c>
      <c r="B81" s="61" t="s">
        <v>34</v>
      </c>
      <c r="C81" s="62">
        <v>58958.001600000003</v>
      </c>
      <c r="D81" s="62" t="s">
        <v>232</v>
      </c>
      <c r="E81">
        <f>+(C81-C$7)/C$8</f>
        <v>56662.712925615953</v>
      </c>
      <c r="F81" s="63">
        <f>ROUND(2*E81,0)/2+0.5</f>
        <v>56663</v>
      </c>
      <c r="G81">
        <f>+C81-(C$7+F81*C$8)</f>
        <v>-9.0893479995429516E-2</v>
      </c>
      <c r="K81">
        <f>+G81</f>
        <v>-9.0893479995429516E-2</v>
      </c>
      <c r="O81">
        <f ca="1">+C$11+C$12*$F81</f>
        <v>-9.166752055467986E-2</v>
      </c>
      <c r="Q81" s="2">
        <f>+C81-15018.5</f>
        <v>43939.501600000003</v>
      </c>
    </row>
    <row r="82" spans="1:17" ht="12" customHeight="1" x14ac:dyDescent="0.2">
      <c r="A82" s="65" t="s">
        <v>234</v>
      </c>
      <c r="B82" s="66" t="s">
        <v>34</v>
      </c>
      <c r="C82" s="69">
        <v>59224.268000000156</v>
      </c>
      <c r="D82" s="70" t="s">
        <v>217</v>
      </c>
      <c r="E82">
        <f>+(C82-C$7)/C$8</f>
        <v>57503.67822673011</v>
      </c>
      <c r="F82" s="63">
        <f>ROUND(2*E82,0)/2+0.5</f>
        <v>57504</v>
      </c>
      <c r="G82">
        <f>+C82-(C$7+F82*C$8)</f>
        <v>-0.10187983984360471</v>
      </c>
      <c r="K82">
        <f>+G82</f>
        <v>-0.10187983984360471</v>
      </c>
      <c r="O82">
        <f ca="1">+C$11+C$12*$F82</f>
        <v>-0.10071675798816826</v>
      </c>
      <c r="Q82" s="2">
        <f>+C82-15018.5</f>
        <v>44205.768000000156</v>
      </c>
    </row>
    <row r="83" spans="1:17" ht="12" customHeight="1" x14ac:dyDescent="0.2">
      <c r="A83" s="65" t="s">
        <v>234</v>
      </c>
      <c r="B83" s="66" t="s">
        <v>34</v>
      </c>
      <c r="C83" s="69">
        <v>59224.268999999855</v>
      </c>
      <c r="D83" s="70" t="s">
        <v>53</v>
      </c>
      <c r="E83">
        <f>+(C83-C$7)/C$8</f>
        <v>57503.681385089738</v>
      </c>
      <c r="F83" s="63">
        <f>ROUND(2*E83,0)/2+0.5</f>
        <v>57504</v>
      </c>
      <c r="G83">
        <f>+C83-(C$7+F83*C$8)</f>
        <v>-0.10087984014535323</v>
      </c>
      <c r="K83">
        <f>+G83</f>
        <v>-0.10087984014535323</v>
      </c>
      <c r="O83">
        <f ca="1">+C$11+C$12*$F83</f>
        <v>-0.10071675798816826</v>
      </c>
      <c r="Q83" s="2">
        <f>+C83-15018.5</f>
        <v>44205.768999999855</v>
      </c>
    </row>
    <row r="84" spans="1:17" ht="12" customHeight="1" x14ac:dyDescent="0.2">
      <c r="A84" s="65" t="s">
        <v>234</v>
      </c>
      <c r="B84" s="66" t="s">
        <v>34</v>
      </c>
      <c r="C84" s="69">
        <v>59244.212999999989</v>
      </c>
      <c r="D84" s="70" t="s">
        <v>238</v>
      </c>
      <c r="E84">
        <f>+(C84-C$7)/C$8</f>
        <v>57566.671728465859</v>
      </c>
      <c r="F84" s="63">
        <f>ROUND(2*E84,0)/2+0.5</f>
        <v>57567</v>
      </c>
      <c r="G84">
        <f>+C84-(C$7+F84*C$8)</f>
        <v>-0.10393732000375167</v>
      </c>
      <c r="K84">
        <f>+G84</f>
        <v>-0.10393732000375167</v>
      </c>
      <c r="O84">
        <f ca="1">+C$11+C$12*$F84</f>
        <v>-0.10139464378877439</v>
      </c>
      <c r="Q84" s="2">
        <f>+C84-15018.5</f>
        <v>44225.712999999989</v>
      </c>
    </row>
    <row r="85" spans="1:17" ht="12" customHeight="1" x14ac:dyDescent="0.2">
      <c r="A85" s="65" t="s">
        <v>234</v>
      </c>
      <c r="B85" s="66" t="s">
        <v>34</v>
      </c>
      <c r="C85" s="69">
        <v>59244.214999999851</v>
      </c>
      <c r="D85" s="70" t="s">
        <v>53</v>
      </c>
      <c r="E85">
        <f>+(C85-C$7)/C$8</f>
        <v>57566.678045186578</v>
      </c>
      <c r="F85" s="63">
        <f>ROUND(2*E85,0)/2+0.5</f>
        <v>57567</v>
      </c>
      <c r="G85">
        <f>+C85-(C$7+F85*C$8)</f>
        <v>-0.10193732014158741</v>
      </c>
      <c r="K85">
        <f>+G85</f>
        <v>-0.10193732014158741</v>
      </c>
      <c r="O85">
        <f ca="1">+C$11+C$12*$F85</f>
        <v>-0.10139464378877439</v>
      </c>
      <c r="Q85" s="2">
        <f>+C85-15018.5</f>
        <v>44225.714999999851</v>
      </c>
    </row>
    <row r="86" spans="1:17" ht="12" customHeight="1" x14ac:dyDescent="0.2">
      <c r="A86" s="65" t="s">
        <v>234</v>
      </c>
      <c r="B86" s="66" t="s">
        <v>34</v>
      </c>
      <c r="C86" s="69">
        <v>59244.217999999877</v>
      </c>
      <c r="D86" s="70" t="s">
        <v>217</v>
      </c>
      <c r="E86">
        <f>+(C86-C$7)/C$8</f>
        <v>57566.687520268402</v>
      </c>
      <c r="F86" s="63">
        <f>ROUND(2*E86,0)/2+0.5</f>
        <v>57567</v>
      </c>
      <c r="G86">
        <f>+C86-(C$7+F86*C$8)</f>
        <v>-9.8937320115510374E-2</v>
      </c>
      <c r="K86">
        <f>+G86</f>
        <v>-9.8937320115510374E-2</v>
      </c>
      <c r="O86">
        <f ca="1">+C$11+C$12*$F86</f>
        <v>-0.10139464378877439</v>
      </c>
      <c r="Q86" s="2">
        <f>+C86-15018.5</f>
        <v>44225.717999999877</v>
      </c>
    </row>
    <row r="87" spans="1:17" ht="12" customHeight="1" x14ac:dyDescent="0.2">
      <c r="A87" s="65" t="s">
        <v>234</v>
      </c>
      <c r="B87" s="66" t="s">
        <v>34</v>
      </c>
      <c r="C87" s="69">
        <v>59248.171000000089</v>
      </c>
      <c r="D87" s="70" t="s">
        <v>53</v>
      </c>
      <c r="E87">
        <f>+(C87-C$7)/C$8</f>
        <v>57579.172519635504</v>
      </c>
      <c r="F87" s="63">
        <f>ROUND(2*E87,0)/2+0.5</f>
        <v>57579.5</v>
      </c>
      <c r="G87">
        <f>+C87-(C$7+F87*C$8)</f>
        <v>-0.10368681990803452</v>
      </c>
      <c r="K87">
        <f>+G87</f>
        <v>-0.10368681990803452</v>
      </c>
      <c r="O87">
        <f ca="1">+C$11+C$12*$F87</f>
        <v>-0.10152914493968834</v>
      </c>
      <c r="Q87" s="2">
        <f>+C87-15018.5</f>
        <v>44229.671000000089</v>
      </c>
    </row>
    <row r="88" spans="1:17" ht="12" customHeight="1" x14ac:dyDescent="0.2">
      <c r="A88" s="65" t="s">
        <v>234</v>
      </c>
      <c r="B88" s="66" t="s">
        <v>34</v>
      </c>
      <c r="C88" s="69">
        <v>59248.171999999788</v>
      </c>
      <c r="D88" s="70" t="s">
        <v>217</v>
      </c>
      <c r="E88">
        <f>+(C88-C$7)/C$8</f>
        <v>57579.175677995125</v>
      </c>
      <c r="F88" s="63">
        <f>ROUND(2*E88,0)/2+0.5</f>
        <v>57579.5</v>
      </c>
      <c r="G88">
        <f>+C88-(C$7+F88*C$8)</f>
        <v>-0.10268682020978304</v>
      </c>
      <c r="K88">
        <f>+G88</f>
        <v>-0.10268682020978304</v>
      </c>
      <c r="O88">
        <f ca="1">+C$11+C$12*$F88</f>
        <v>-0.10152914493968834</v>
      </c>
      <c r="Q88" s="2">
        <f>+C88-15018.5</f>
        <v>44229.671999999788</v>
      </c>
    </row>
    <row r="89" spans="1:17" ht="12" customHeight="1" x14ac:dyDescent="0.2">
      <c r="A89" s="65" t="s">
        <v>234</v>
      </c>
      <c r="B89" s="66" t="s">
        <v>34</v>
      </c>
      <c r="C89" s="69">
        <v>59250.234000000171</v>
      </c>
      <c r="D89" s="70" t="s">
        <v>53</v>
      </c>
      <c r="E89">
        <f>+(C89-C$7)/C$8</f>
        <v>57585.688217509007</v>
      </c>
      <c r="F89" s="63">
        <f>ROUND(2*E89,0)/2+0.5</f>
        <v>57586</v>
      </c>
      <c r="G89">
        <f>+C89-(C$7+F89*C$8)</f>
        <v>-9.8716559827153105E-2</v>
      </c>
      <c r="K89">
        <f>+G89</f>
        <v>-9.8716559827153105E-2</v>
      </c>
      <c r="O89">
        <f ca="1">+C$11+C$12*$F89</f>
        <v>-0.10159908553816355</v>
      </c>
      <c r="Q89" s="2">
        <f>+C89-15018.5</f>
        <v>44231.734000000171</v>
      </c>
    </row>
    <row r="90" spans="1:17" ht="12" customHeight="1" x14ac:dyDescent="0.2">
      <c r="A90" s="65" t="s">
        <v>234</v>
      </c>
      <c r="B90" s="66" t="s">
        <v>34</v>
      </c>
      <c r="C90" s="69">
        <v>59264.161299999803</v>
      </c>
      <c r="D90" s="70" t="s">
        <v>53</v>
      </c>
      <c r="E90">
        <f>+(C90-C$7)/C$8</f>
        <v>57629.675652791462</v>
      </c>
      <c r="F90" s="63">
        <f>ROUND(2*E90,0)/2+0.5</f>
        <v>57630</v>
      </c>
      <c r="G90">
        <f>+C90-(C$7+F90*C$8)</f>
        <v>-0.10269480019633193</v>
      </c>
      <c r="K90">
        <f>+G90</f>
        <v>-0.10269480019633193</v>
      </c>
      <c r="O90">
        <f ca="1">+C$11+C$12*$F90</f>
        <v>-0.10207252958938051</v>
      </c>
      <c r="Q90" s="2">
        <f>+C90-15018.5</f>
        <v>44245.661299999803</v>
      </c>
    </row>
    <row r="91" spans="1:17" ht="12" customHeight="1" x14ac:dyDescent="0.2">
      <c r="A91" s="65" t="s">
        <v>234</v>
      </c>
      <c r="B91" s="66" t="s">
        <v>34</v>
      </c>
      <c r="C91" s="69">
        <v>59264.162000000011</v>
      </c>
      <c r="D91" s="70" t="s">
        <v>217</v>
      </c>
      <c r="E91">
        <f>+(C91-C$7)/C$8</f>
        <v>57629.677863644523</v>
      </c>
      <c r="F91" s="63">
        <f>ROUND(2*E91,0)/2+0.5</f>
        <v>57630</v>
      </c>
      <c r="G91">
        <f>+C91-(C$7+F91*C$8)</f>
        <v>-0.10199479998846073</v>
      </c>
      <c r="K91">
        <f>+G91</f>
        <v>-0.10199479998846073</v>
      </c>
      <c r="O91">
        <f ca="1">+C$11+C$12*$F91</f>
        <v>-0.10207252958938051</v>
      </c>
      <c r="Q91" s="2">
        <f>+C91-15018.5</f>
        <v>44245.662000000011</v>
      </c>
    </row>
    <row r="92" spans="1:17" ht="12" customHeight="1" x14ac:dyDescent="0.2">
      <c r="A92" s="65" t="s">
        <v>234</v>
      </c>
      <c r="B92" s="66" t="s">
        <v>34</v>
      </c>
      <c r="C92" s="69">
        <v>59264.162299999967</v>
      </c>
      <c r="D92" s="70" t="s">
        <v>238</v>
      </c>
      <c r="E92">
        <f>+(C92-C$7)/C$8</f>
        <v>57629.678811152553</v>
      </c>
      <c r="F92" s="63">
        <f>ROUND(2*E92,0)/2+0.5</f>
        <v>57630</v>
      </c>
      <c r="G92">
        <f>+C92-(C$7+F92*C$8)</f>
        <v>-0.10169480003241915</v>
      </c>
      <c r="K92">
        <f>+G92</f>
        <v>-0.10169480003241915</v>
      </c>
      <c r="O92">
        <f ca="1">+C$11+C$12*$F92</f>
        <v>-0.10207252958938051</v>
      </c>
      <c r="Q92" s="2">
        <f>+C92-15018.5</f>
        <v>44245.662299999967</v>
      </c>
    </row>
    <row r="93" spans="1:17" ht="12" customHeight="1" x14ac:dyDescent="0.2">
      <c r="A93" s="65" t="s">
        <v>235</v>
      </c>
      <c r="B93" s="66" t="s">
        <v>40</v>
      </c>
      <c r="C93" s="69">
        <v>59312.444999999832</v>
      </c>
      <c r="D93" s="70">
        <v>5.0000000000000001E-3</v>
      </c>
      <c r="E93">
        <f>+(C93-C$7)/C$8</f>
        <v>57782.172987451057</v>
      </c>
      <c r="F93" s="63">
        <f>ROUND(2*E93,0)/2+0.5</f>
        <v>57782.5</v>
      </c>
      <c r="G93">
        <f>+C93-(C$7+F93*C$8)</f>
        <v>-0.10353870016115252</v>
      </c>
      <c r="K93">
        <f>+G93</f>
        <v>-0.10353870016115252</v>
      </c>
      <c r="O93">
        <f ca="1">+C$11+C$12*$F93</f>
        <v>-0.10371344363053037</v>
      </c>
      <c r="Q93" s="2">
        <f>+C93-15018.5</f>
        <v>44293.944999999832</v>
      </c>
    </row>
    <row r="94" spans="1:17" ht="12" customHeight="1" x14ac:dyDescent="0.2">
      <c r="A94" s="64" t="s">
        <v>233</v>
      </c>
      <c r="B94" s="58" t="s">
        <v>34</v>
      </c>
      <c r="C94" s="59">
        <v>59346.637199999997</v>
      </c>
      <c r="D94" s="59">
        <v>2.9999999999999997E-4</v>
      </c>
      <c r="E94">
        <f>+(C94-C$7)/C$8</f>
        <v>57890.164284020502</v>
      </c>
      <c r="F94" s="63">
        <f>ROUND(2*E94,0)/2+0.5</f>
        <v>57890.5</v>
      </c>
      <c r="G94">
        <f>+C94-(C$7+F94*C$8)</f>
        <v>-0.10629437999887159</v>
      </c>
      <c r="K94">
        <f>+G94</f>
        <v>-0.10629437999887159</v>
      </c>
      <c r="O94">
        <f ca="1">+C$11+C$12*$F94</f>
        <v>-0.10487553357442658</v>
      </c>
      <c r="Q94" s="2">
        <f>+C94-15018.5</f>
        <v>44328.137199999997</v>
      </c>
    </row>
    <row r="95" spans="1:17" ht="12" customHeight="1" x14ac:dyDescent="0.2">
      <c r="A95" s="65" t="s">
        <v>235</v>
      </c>
      <c r="B95" s="66" t="s">
        <v>34</v>
      </c>
      <c r="C95" s="69">
        <v>59353.441000000108</v>
      </c>
      <c r="D95" s="70">
        <v>5.0000000000000001E-3</v>
      </c>
      <c r="E95">
        <f>+(C95-C$7)/C$8</f>
        <v>57911.653137724199</v>
      </c>
      <c r="F95" s="63">
        <f>ROUND(2*E95,0)/2+0.5</f>
        <v>57912</v>
      </c>
      <c r="G95">
        <f>+C95-(C$7+F95*C$8)</f>
        <v>-0.10982351988786831</v>
      </c>
      <c r="K95">
        <f>+G95</f>
        <v>-0.10982351988786831</v>
      </c>
      <c r="O95">
        <f ca="1">+C$11+C$12*$F95</f>
        <v>-0.10510687555399856</v>
      </c>
      <c r="Q95" s="2">
        <f>+C95-15018.5</f>
        <v>44334.941000000108</v>
      </c>
    </row>
    <row r="96" spans="1:17" ht="12" customHeight="1" x14ac:dyDescent="0.2">
      <c r="A96" s="67" t="s">
        <v>239</v>
      </c>
      <c r="B96" s="68" t="s">
        <v>34</v>
      </c>
      <c r="C96" s="71">
        <v>59604.197999999858</v>
      </c>
      <c r="D96" s="10"/>
      <c r="E96">
        <f>+(C96-C$7)/C$8</f>
        <v>58703.634161282382</v>
      </c>
      <c r="F96">
        <f>ROUND(2*E96,0)/2+0.5</f>
        <v>58704</v>
      </c>
      <c r="G96">
        <f>+C96-(C$7+F96*C$8)</f>
        <v>-0.11583184014307335</v>
      </c>
      <c r="K96">
        <f>+G96</f>
        <v>-0.11583184014307335</v>
      </c>
      <c r="O96">
        <f ca="1">+C$11+C$12*$F96</f>
        <v>-0.11362886847590437</v>
      </c>
      <c r="Q96" s="2">
        <f>+C96-15018.5</f>
        <v>44585.697999999858</v>
      </c>
    </row>
    <row r="97" spans="1:17" ht="12" customHeight="1" x14ac:dyDescent="0.2">
      <c r="A97" s="67" t="s">
        <v>239</v>
      </c>
      <c r="B97" s="68" t="s">
        <v>34</v>
      </c>
      <c r="C97" s="71">
        <v>59604.199000000022</v>
      </c>
      <c r="D97" s="10"/>
      <c r="E97">
        <f>+(C97-C$7)/C$8</f>
        <v>58703.63731964348</v>
      </c>
      <c r="F97">
        <f>ROUND(2*E97,0)/2+0.5</f>
        <v>58704</v>
      </c>
      <c r="G97">
        <f>+C97-(C$7+F97*C$8)</f>
        <v>-0.11483183997916058</v>
      </c>
      <c r="K97">
        <f>+G97</f>
        <v>-0.11483183997916058</v>
      </c>
      <c r="O97">
        <f ca="1">+C$11+C$12*$F97</f>
        <v>-0.11362886847590437</v>
      </c>
      <c r="Q97" s="2">
        <f>+C97-15018.5</f>
        <v>44585.699000000022</v>
      </c>
    </row>
    <row r="98" spans="1:17" ht="12" customHeight="1" x14ac:dyDescent="0.2">
      <c r="A98" s="67" t="s">
        <v>239</v>
      </c>
      <c r="B98" s="68" t="s">
        <v>40</v>
      </c>
      <c r="C98" s="71">
        <v>59613.221599999815</v>
      </c>
      <c r="D98" s="10"/>
      <c r="E98">
        <f>+(C98-C$7)/C$8</f>
        <v>58732.133943797533</v>
      </c>
      <c r="F98">
        <f>ROUND(2*E98,0)/2+0.5</f>
        <v>58732.5</v>
      </c>
      <c r="G98">
        <f>+C98-(C$7+F98*C$8)</f>
        <v>-0.11590070018428378</v>
      </c>
      <c r="K98">
        <f>+G98</f>
        <v>-0.11590070018428378</v>
      </c>
      <c r="O98">
        <f ca="1">+C$11+C$12*$F98</f>
        <v>-0.11393553109998811</v>
      </c>
      <c r="Q98" s="2">
        <f>+C98-15018.5</f>
        <v>44594.721599999815</v>
      </c>
    </row>
    <row r="99" spans="1:17" x14ac:dyDescent="0.2">
      <c r="A99" s="67" t="s">
        <v>239</v>
      </c>
      <c r="B99" s="68" t="s">
        <v>40</v>
      </c>
      <c r="C99" s="71">
        <v>59613.223699999973</v>
      </c>
      <c r="D99" s="10"/>
      <c r="E99">
        <f>+(C99-C$7)/C$8</f>
        <v>58732.140576355247</v>
      </c>
      <c r="F99">
        <f>ROUND(2*E99,0)/2+0.5</f>
        <v>58732.5</v>
      </c>
      <c r="G99">
        <f>+C99-(C$7+F99*C$8)</f>
        <v>-0.11380070002633147</v>
      </c>
      <c r="K99">
        <f>+G99</f>
        <v>-0.11380070002633147</v>
      </c>
      <c r="O99">
        <f ca="1">+C$11+C$12*$F99</f>
        <v>-0.11393553109998811</v>
      </c>
      <c r="Q99" s="2">
        <f>+C99-15018.5</f>
        <v>44594.723699999973</v>
      </c>
    </row>
    <row r="100" spans="1:17" x14ac:dyDescent="0.2">
      <c r="A100" s="67" t="s">
        <v>239</v>
      </c>
      <c r="B100" s="68" t="s">
        <v>40</v>
      </c>
      <c r="C100" s="71">
        <v>59679.078300000168</v>
      </c>
      <c r="D100" s="10"/>
      <c r="E100">
        <f>+(C100-C$7)/C$8</f>
        <v>58940.13314890246</v>
      </c>
      <c r="F100">
        <f>ROUND(2*E100,0)/2+0.5</f>
        <v>58940.5</v>
      </c>
      <c r="G100">
        <f>+C100-(C$7+F100*C$8)</f>
        <v>-0.1161523798291455</v>
      </c>
      <c r="K100">
        <f>+G100</f>
        <v>-0.1161523798291455</v>
      </c>
      <c r="O100">
        <f ca="1">+C$11+C$12*$F100</f>
        <v>-0.11617363025119565</v>
      </c>
      <c r="Q100" s="2">
        <f>+C100-15018.5</f>
        <v>44660.578300000168</v>
      </c>
    </row>
    <row r="101" spans="1:17" x14ac:dyDescent="0.2">
      <c r="A101" s="67" t="s">
        <v>239</v>
      </c>
      <c r="B101" s="68" t="s">
        <v>40</v>
      </c>
      <c r="C101" s="71">
        <v>59679.080500000156</v>
      </c>
      <c r="D101" s="10"/>
      <c r="E101">
        <f>+(C101-C$7)/C$8</f>
        <v>58940.140097295698</v>
      </c>
      <c r="F101">
        <f>ROUND(2*E101,0)/2+0.5</f>
        <v>58940.5</v>
      </c>
      <c r="G101">
        <f>+C101-(C$7+F101*C$8)</f>
        <v>-0.11395237984106643</v>
      </c>
      <c r="K101">
        <f>+G101</f>
        <v>-0.11395237984106643</v>
      </c>
      <c r="O101">
        <f ca="1">+C$11+C$12*$F101</f>
        <v>-0.11617363025119565</v>
      </c>
      <c r="Q101" s="2">
        <f>+C101-15018.5</f>
        <v>44660.580500000156</v>
      </c>
    </row>
    <row r="102" spans="1:17" x14ac:dyDescent="0.2">
      <c r="A102" s="65" t="s">
        <v>236</v>
      </c>
      <c r="B102" s="66" t="s">
        <v>40</v>
      </c>
      <c r="C102" s="69">
        <v>59694.434000000001</v>
      </c>
      <c r="D102" s="70">
        <v>5.0000000000000001E-3</v>
      </c>
      <c r="E102">
        <f>+(C102-C$7)/C$8</f>
        <v>58988.631986435736</v>
      </c>
      <c r="F102" s="81">
        <f>ROUND(2*E102,0)/2+0.5</f>
        <v>58989</v>
      </c>
      <c r="G102">
        <f>+C102-(C$7+F102*C$8)</f>
        <v>-0.11652043999492889</v>
      </c>
      <c r="K102">
        <f>+G102</f>
        <v>-0.11652043999492889</v>
      </c>
      <c r="O102">
        <f ca="1">+C$11+C$12*$F102</f>
        <v>-0.11669549471674168</v>
      </c>
      <c r="Q102" s="2">
        <f>+C102-15018.5</f>
        <v>44675.934000000001</v>
      </c>
    </row>
    <row r="103" spans="1:17" x14ac:dyDescent="0.2">
      <c r="A103" s="65" t="s">
        <v>236</v>
      </c>
      <c r="B103" s="66" t="s">
        <v>40</v>
      </c>
      <c r="C103" s="69">
        <v>59694.595000000001</v>
      </c>
      <c r="D103" s="70">
        <v>5.0000000000000001E-3</v>
      </c>
      <c r="E103">
        <f>+(C103-C$7)/C$8</f>
        <v>58989.14048248886</v>
      </c>
      <c r="F103" s="81">
        <f>ROUND(2*E103,0)/2+0.5</f>
        <v>58989.5</v>
      </c>
      <c r="G103">
        <f>+C103-(C$7+F103*C$8)</f>
        <v>-0.11383041999943089</v>
      </c>
      <c r="K103">
        <f>+G103</f>
        <v>-0.11383041999943089</v>
      </c>
      <c r="O103">
        <f ca="1">+C$11+C$12*$F103</f>
        <v>-0.11670087476277824</v>
      </c>
      <c r="Q103" s="2">
        <f>+C103-15018.5</f>
        <v>44676.095000000001</v>
      </c>
    </row>
    <row r="104" spans="1:17" x14ac:dyDescent="0.2">
      <c r="A104" s="65" t="s">
        <v>237</v>
      </c>
      <c r="B104" s="66" t="s">
        <v>34</v>
      </c>
      <c r="C104" s="69">
        <v>59696.647400000002</v>
      </c>
      <c r="D104" s="70">
        <v>2.0000000000000001E-4</v>
      </c>
      <c r="E104">
        <f>+(C104-C$7)/C$8</f>
        <v>58995.62270173998</v>
      </c>
      <c r="F104" s="81">
        <f>ROUND(2*E104,0)/2+0.5</f>
        <v>58996</v>
      </c>
      <c r="G104">
        <f>+C104-(C$7+F104*C$8)</f>
        <v>-0.11946016000001691</v>
      </c>
      <c r="K104">
        <f>+G104</f>
        <v>-0.11946016000001691</v>
      </c>
      <c r="O104">
        <f ca="1">+C$11+C$12*$F104</f>
        <v>-0.11677081536125344</v>
      </c>
      <c r="Q104" s="2">
        <f>+C104-15018.5</f>
        <v>44678.147400000002</v>
      </c>
    </row>
    <row r="105" spans="1:17" x14ac:dyDescent="0.2">
      <c r="C105" s="10"/>
      <c r="D105" s="10"/>
    </row>
    <row r="106" spans="1:17" x14ac:dyDescent="0.2">
      <c r="C106" s="10"/>
      <c r="D106" s="10"/>
    </row>
    <row r="107" spans="1:17" x14ac:dyDescent="0.2">
      <c r="C107" s="10"/>
      <c r="D107" s="10"/>
    </row>
    <row r="108" spans="1:17" x14ac:dyDescent="0.2">
      <c r="C108" s="10"/>
      <c r="D108" s="10"/>
    </row>
    <row r="109" spans="1:17" x14ac:dyDescent="0.2">
      <c r="C109" s="10"/>
      <c r="D109" s="10"/>
    </row>
    <row r="110" spans="1:17" x14ac:dyDescent="0.2">
      <c r="C110" s="10"/>
      <c r="D110" s="10"/>
    </row>
    <row r="111" spans="1:17" x14ac:dyDescent="0.2">
      <c r="C111" s="10"/>
      <c r="D111" s="10"/>
    </row>
    <row r="112" spans="1:17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69:D80" name="Range1"/>
  </protectedRanges>
  <sortState xmlns:xlrd2="http://schemas.microsoft.com/office/spreadsheetml/2017/richdata2" ref="A21:AA115">
    <sortCondition ref="C21:C115"/>
  </sortState>
  <phoneticPr fontId="8" type="noConversion"/>
  <hyperlinks>
    <hyperlink ref="H129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4"/>
  <sheetViews>
    <sheetView topLeftCell="A6" workbookViewId="0">
      <selection activeCell="A31" sqref="A31:D5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44</v>
      </c>
      <c r="I1" s="33" t="s">
        <v>45</v>
      </c>
      <c r="J1" s="34" t="s">
        <v>46</v>
      </c>
    </row>
    <row r="2" spans="1:16" x14ac:dyDescent="0.2">
      <c r="I2" s="35" t="s">
        <v>47</v>
      </c>
      <c r="J2" s="36" t="s">
        <v>48</v>
      </c>
    </row>
    <row r="3" spans="1:16" x14ac:dyDescent="0.2">
      <c r="A3" s="37" t="s">
        <v>49</v>
      </c>
      <c r="I3" s="35" t="s">
        <v>50</v>
      </c>
      <c r="J3" s="36" t="s">
        <v>51</v>
      </c>
    </row>
    <row r="4" spans="1:16" x14ac:dyDescent="0.2">
      <c r="I4" s="35" t="s">
        <v>52</v>
      </c>
      <c r="J4" s="36" t="s">
        <v>51</v>
      </c>
    </row>
    <row r="5" spans="1:16" ht="13.5" thickBot="1" x14ac:dyDescent="0.25">
      <c r="I5" s="38" t="s">
        <v>53</v>
      </c>
      <c r="J5" s="39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54" si="0">P11</f>
        <v>IBVS 5603 </v>
      </c>
      <c r="B11" s="3" t="str">
        <f t="shared" ref="B11:B54" si="1">IF(H11=INT(H11),"I","II")</f>
        <v>I</v>
      </c>
      <c r="C11" s="10">
        <f t="shared" ref="C11:C54" si="2">1*G11</f>
        <v>53033.871200000001</v>
      </c>
      <c r="D11" s="12" t="str">
        <f t="shared" ref="D11:D54" si="3">VLOOKUP(F11,I$1:J$5,2,FALSE)</f>
        <v>vis</v>
      </c>
      <c r="E11" s="40">
        <f>VLOOKUP(C11,Active!C$21:E$972,3,FALSE)</f>
        <v>37952.173008928447</v>
      </c>
      <c r="F11" s="3" t="s">
        <v>53</v>
      </c>
      <c r="G11" s="12" t="str">
        <f t="shared" ref="G11:G54" si="4">MID(I11,3,LEN(I11)-3)</f>
        <v>53033.8712</v>
      </c>
      <c r="H11" s="10">
        <f t="shared" ref="H11:H54" si="5">1*K11</f>
        <v>37950</v>
      </c>
      <c r="I11" s="41" t="s">
        <v>116</v>
      </c>
      <c r="J11" s="42" t="s">
        <v>117</v>
      </c>
      <c r="K11" s="41">
        <v>37950</v>
      </c>
      <c r="L11" s="41" t="s">
        <v>118</v>
      </c>
      <c r="M11" s="42" t="s">
        <v>60</v>
      </c>
      <c r="N11" s="42" t="s">
        <v>61</v>
      </c>
      <c r="O11" s="43" t="s">
        <v>119</v>
      </c>
      <c r="P11" s="44" t="s">
        <v>120</v>
      </c>
    </row>
    <row r="12" spans="1:16" ht="12.75" customHeight="1" thickBot="1" x14ac:dyDescent="0.25">
      <c r="A12" s="10" t="str">
        <f t="shared" si="0"/>
        <v>IBVS 5843 </v>
      </c>
      <c r="B12" s="3" t="str">
        <f t="shared" si="1"/>
        <v>I</v>
      </c>
      <c r="C12" s="10">
        <f t="shared" si="2"/>
        <v>53466.686900000001</v>
      </c>
      <c r="D12" s="12" t="str">
        <f t="shared" si="3"/>
        <v>vis</v>
      </c>
      <c r="E12" s="40">
        <f>VLOOKUP(C12,Active!C$21:E$972,3,FALSE)</f>
        <v>39319.161053522977</v>
      </c>
      <c r="F12" s="3" t="s">
        <v>53</v>
      </c>
      <c r="G12" s="12" t="str">
        <f t="shared" si="4"/>
        <v>53466.6869</v>
      </c>
      <c r="H12" s="10">
        <f t="shared" si="5"/>
        <v>39317</v>
      </c>
      <c r="I12" s="41" t="s">
        <v>121</v>
      </c>
      <c r="J12" s="42" t="s">
        <v>122</v>
      </c>
      <c r="K12" s="41">
        <v>39317</v>
      </c>
      <c r="L12" s="41" t="s">
        <v>123</v>
      </c>
      <c r="M12" s="42" t="s">
        <v>107</v>
      </c>
      <c r="N12" s="42" t="s">
        <v>124</v>
      </c>
      <c r="O12" s="43" t="s">
        <v>125</v>
      </c>
      <c r="P12" s="44" t="s">
        <v>126</v>
      </c>
    </row>
    <row r="13" spans="1:16" ht="12.75" customHeight="1" thickBot="1" x14ac:dyDescent="0.25">
      <c r="A13" s="10" t="str">
        <f t="shared" si="0"/>
        <v>IBVS 5843 </v>
      </c>
      <c r="B13" s="3" t="str">
        <f t="shared" si="1"/>
        <v>II</v>
      </c>
      <c r="C13" s="10">
        <f t="shared" si="2"/>
        <v>53466.838900000002</v>
      </c>
      <c r="D13" s="12" t="str">
        <f t="shared" si="3"/>
        <v>vis</v>
      </c>
      <c r="E13" s="40">
        <f>VLOOKUP(C13,Active!C$21:E$972,3,FALSE)</f>
        <v>39319.641124330898</v>
      </c>
      <c r="F13" s="3" t="s">
        <v>53</v>
      </c>
      <c r="G13" s="12" t="str">
        <f t="shared" si="4"/>
        <v>53466.8389</v>
      </c>
      <c r="H13" s="10">
        <f t="shared" si="5"/>
        <v>39317.5</v>
      </c>
      <c r="I13" s="41" t="s">
        <v>127</v>
      </c>
      <c r="J13" s="42" t="s">
        <v>128</v>
      </c>
      <c r="K13" s="41" t="s">
        <v>129</v>
      </c>
      <c r="L13" s="41" t="s">
        <v>130</v>
      </c>
      <c r="M13" s="42" t="s">
        <v>107</v>
      </c>
      <c r="N13" s="42" t="s">
        <v>124</v>
      </c>
      <c r="O13" s="43" t="s">
        <v>125</v>
      </c>
      <c r="P13" s="44" t="s">
        <v>126</v>
      </c>
    </row>
    <row r="14" spans="1:16" ht="12.75" customHeight="1" thickBot="1" x14ac:dyDescent="0.25">
      <c r="A14" s="10" t="str">
        <f t="shared" si="0"/>
        <v>IBVS 5843 </v>
      </c>
      <c r="B14" s="3" t="str">
        <f t="shared" si="1"/>
        <v>I</v>
      </c>
      <c r="C14" s="10">
        <f t="shared" si="2"/>
        <v>53468.592499999999</v>
      </c>
      <c r="D14" s="12" t="str">
        <f t="shared" si="3"/>
        <v>vis</v>
      </c>
      <c r="E14" s="40">
        <f>VLOOKUP(C14,Active!C$21:E$972,3,FALSE)</f>
        <v>39325.179625441182</v>
      </c>
      <c r="F14" s="3" t="s">
        <v>53</v>
      </c>
      <c r="G14" s="12" t="str">
        <f t="shared" si="4"/>
        <v>53468.5925</v>
      </c>
      <c r="H14" s="10">
        <f t="shared" si="5"/>
        <v>39323</v>
      </c>
      <c r="I14" s="41" t="s">
        <v>131</v>
      </c>
      <c r="J14" s="42" t="s">
        <v>132</v>
      </c>
      <c r="K14" s="41" t="s">
        <v>133</v>
      </c>
      <c r="L14" s="41" t="s">
        <v>134</v>
      </c>
      <c r="M14" s="42" t="s">
        <v>107</v>
      </c>
      <c r="N14" s="42" t="s">
        <v>124</v>
      </c>
      <c r="O14" s="43" t="s">
        <v>125</v>
      </c>
      <c r="P14" s="44" t="s">
        <v>126</v>
      </c>
    </row>
    <row r="15" spans="1:16" ht="12.75" customHeight="1" thickBot="1" x14ac:dyDescent="0.25">
      <c r="A15" s="10" t="str">
        <f t="shared" si="0"/>
        <v>IBVS 5843 </v>
      </c>
      <c r="B15" s="3" t="str">
        <f t="shared" si="1"/>
        <v>II</v>
      </c>
      <c r="C15" s="10">
        <f t="shared" si="2"/>
        <v>53468.748599999999</v>
      </c>
      <c r="D15" s="12" t="str">
        <f t="shared" si="3"/>
        <v>vis</v>
      </c>
      <c r="E15" s="40">
        <f>VLOOKUP(C15,Active!C$21:E$972,3,FALSE)</f>
        <v>39325.672645527469</v>
      </c>
      <c r="F15" s="3" t="s">
        <v>53</v>
      </c>
      <c r="G15" s="12" t="str">
        <f t="shared" si="4"/>
        <v>53468.7486</v>
      </c>
      <c r="H15" s="10">
        <f t="shared" si="5"/>
        <v>39323.5</v>
      </c>
      <c r="I15" s="41" t="s">
        <v>135</v>
      </c>
      <c r="J15" s="42" t="s">
        <v>136</v>
      </c>
      <c r="K15" s="41" t="s">
        <v>137</v>
      </c>
      <c r="L15" s="41" t="s">
        <v>138</v>
      </c>
      <c r="M15" s="42" t="s">
        <v>107</v>
      </c>
      <c r="N15" s="42" t="s">
        <v>124</v>
      </c>
      <c r="O15" s="43" t="s">
        <v>125</v>
      </c>
      <c r="P15" s="44" t="s">
        <v>126</v>
      </c>
    </row>
    <row r="16" spans="1:16" ht="12.75" customHeight="1" thickBot="1" x14ac:dyDescent="0.25">
      <c r="A16" s="10" t="str">
        <f t="shared" si="0"/>
        <v>IBVS 5843 </v>
      </c>
      <c r="B16" s="3" t="str">
        <f t="shared" si="1"/>
        <v>II</v>
      </c>
      <c r="C16" s="10">
        <f t="shared" si="2"/>
        <v>53469.696300000003</v>
      </c>
      <c r="D16" s="12" t="str">
        <f t="shared" si="3"/>
        <v>vis</v>
      </c>
      <c r="E16" s="40">
        <f>VLOOKUP(C16,Active!C$21:E$972,3,FALSE)</f>
        <v>39328.665823847638</v>
      </c>
      <c r="F16" s="3" t="s">
        <v>53</v>
      </c>
      <c r="G16" s="12" t="str">
        <f t="shared" si="4"/>
        <v>53469.6963</v>
      </c>
      <c r="H16" s="10">
        <f t="shared" si="5"/>
        <v>39326.5</v>
      </c>
      <c r="I16" s="41" t="s">
        <v>139</v>
      </c>
      <c r="J16" s="42" t="s">
        <v>140</v>
      </c>
      <c r="K16" s="41" t="s">
        <v>141</v>
      </c>
      <c r="L16" s="41" t="s">
        <v>142</v>
      </c>
      <c r="M16" s="42" t="s">
        <v>107</v>
      </c>
      <c r="N16" s="42" t="s">
        <v>124</v>
      </c>
      <c r="O16" s="43" t="s">
        <v>125</v>
      </c>
      <c r="P16" s="44" t="s">
        <v>126</v>
      </c>
    </row>
    <row r="17" spans="1:16" ht="12.75" customHeight="1" thickBot="1" x14ac:dyDescent="0.25">
      <c r="A17" s="10" t="str">
        <f t="shared" si="0"/>
        <v>IBVS 5843 </v>
      </c>
      <c r="B17" s="3" t="str">
        <f t="shared" si="1"/>
        <v>II</v>
      </c>
      <c r="C17" s="10">
        <f t="shared" si="2"/>
        <v>53470.652300000002</v>
      </c>
      <c r="D17" s="12" t="str">
        <f t="shared" si="3"/>
        <v>vis</v>
      </c>
      <c r="E17" s="40">
        <f>VLOOKUP(C17,Active!C$21:E$972,3,FALSE)</f>
        <v>39331.685216560589</v>
      </c>
      <c r="F17" s="3" t="s">
        <v>53</v>
      </c>
      <c r="G17" s="12" t="str">
        <f t="shared" si="4"/>
        <v>53470.6523</v>
      </c>
      <c r="H17" s="10">
        <f t="shared" si="5"/>
        <v>39329.5</v>
      </c>
      <c r="I17" s="41" t="s">
        <v>143</v>
      </c>
      <c r="J17" s="42" t="s">
        <v>144</v>
      </c>
      <c r="K17" s="41" t="s">
        <v>145</v>
      </c>
      <c r="L17" s="41" t="s">
        <v>146</v>
      </c>
      <c r="M17" s="42" t="s">
        <v>107</v>
      </c>
      <c r="N17" s="42" t="s">
        <v>124</v>
      </c>
      <c r="O17" s="43" t="s">
        <v>125</v>
      </c>
      <c r="P17" s="44" t="s">
        <v>126</v>
      </c>
    </row>
    <row r="18" spans="1:16" ht="12.75" customHeight="1" thickBot="1" x14ac:dyDescent="0.25">
      <c r="A18" s="10" t="str">
        <f t="shared" si="0"/>
        <v>IBVS 5843 </v>
      </c>
      <c r="B18" s="3" t="str">
        <f t="shared" si="1"/>
        <v>II</v>
      </c>
      <c r="C18" s="10">
        <f t="shared" si="2"/>
        <v>53471.591999999997</v>
      </c>
      <c r="D18" s="12" t="str">
        <f t="shared" si="3"/>
        <v>vis</v>
      </c>
      <c r="E18" s="40">
        <f>VLOOKUP(C18,Active!C$21:E$972,3,FALSE)</f>
        <v>39334.653127996098</v>
      </c>
      <c r="F18" s="3" t="s">
        <v>53</v>
      </c>
      <c r="G18" s="12" t="str">
        <f t="shared" si="4"/>
        <v>53471.5920</v>
      </c>
      <c r="H18" s="10">
        <f t="shared" si="5"/>
        <v>39332.5</v>
      </c>
      <c r="I18" s="41" t="s">
        <v>147</v>
      </c>
      <c r="J18" s="42" t="s">
        <v>148</v>
      </c>
      <c r="K18" s="41" t="s">
        <v>149</v>
      </c>
      <c r="L18" s="41" t="s">
        <v>150</v>
      </c>
      <c r="M18" s="42" t="s">
        <v>107</v>
      </c>
      <c r="N18" s="42" t="s">
        <v>124</v>
      </c>
      <c r="O18" s="43" t="s">
        <v>125</v>
      </c>
      <c r="P18" s="44" t="s">
        <v>126</v>
      </c>
    </row>
    <row r="19" spans="1:16" ht="12.75" customHeight="1" thickBot="1" x14ac:dyDescent="0.25">
      <c r="A19" s="10" t="str">
        <f t="shared" si="0"/>
        <v>IBVS 5843 </v>
      </c>
      <c r="B19" s="3" t="str">
        <f t="shared" si="1"/>
        <v>I</v>
      </c>
      <c r="C19" s="10">
        <f t="shared" si="2"/>
        <v>53471.756999999998</v>
      </c>
      <c r="D19" s="12" t="str">
        <f t="shared" si="3"/>
        <v>vis</v>
      </c>
      <c r="E19" s="40">
        <f>VLOOKUP(C19,Active!C$21:E$972,3,FALSE)</f>
        <v>39335.174257491533</v>
      </c>
      <c r="F19" s="3" t="s">
        <v>53</v>
      </c>
      <c r="G19" s="12" t="str">
        <f t="shared" si="4"/>
        <v>53471.7570</v>
      </c>
      <c r="H19" s="10">
        <f t="shared" si="5"/>
        <v>39333</v>
      </c>
      <c r="I19" s="41" t="s">
        <v>151</v>
      </c>
      <c r="J19" s="42" t="s">
        <v>152</v>
      </c>
      <c r="K19" s="41" t="s">
        <v>153</v>
      </c>
      <c r="L19" s="41" t="s">
        <v>154</v>
      </c>
      <c r="M19" s="42" t="s">
        <v>107</v>
      </c>
      <c r="N19" s="42" t="s">
        <v>124</v>
      </c>
      <c r="O19" s="43" t="s">
        <v>125</v>
      </c>
      <c r="P19" s="44" t="s">
        <v>126</v>
      </c>
    </row>
    <row r="20" spans="1:16" ht="12.75" customHeight="1" thickBot="1" x14ac:dyDescent="0.25">
      <c r="A20" s="10" t="str">
        <f t="shared" si="0"/>
        <v>IBVS 5843 </v>
      </c>
      <c r="B20" s="3" t="str">
        <f t="shared" si="1"/>
        <v>I</v>
      </c>
      <c r="C20" s="10">
        <f t="shared" si="2"/>
        <v>53473.659599999999</v>
      </c>
      <c r="D20" s="12" t="str">
        <f t="shared" si="3"/>
        <v>vis</v>
      </c>
      <c r="E20" s="40">
        <f>VLOOKUP(C20,Active!C$21:E$972,3,FALSE)</f>
        <v>39341.183354328015</v>
      </c>
      <c r="F20" s="3" t="s">
        <v>53</v>
      </c>
      <c r="G20" s="12" t="str">
        <f t="shared" si="4"/>
        <v>53473.6596</v>
      </c>
      <c r="H20" s="10">
        <f t="shared" si="5"/>
        <v>39339</v>
      </c>
      <c r="I20" s="41" t="s">
        <v>155</v>
      </c>
      <c r="J20" s="42" t="s">
        <v>156</v>
      </c>
      <c r="K20" s="41" t="s">
        <v>157</v>
      </c>
      <c r="L20" s="41" t="s">
        <v>158</v>
      </c>
      <c r="M20" s="42" t="s">
        <v>107</v>
      </c>
      <c r="N20" s="42" t="s">
        <v>124</v>
      </c>
      <c r="O20" s="43" t="s">
        <v>125</v>
      </c>
      <c r="P20" s="44" t="s">
        <v>126</v>
      </c>
    </row>
    <row r="21" spans="1:16" ht="12.75" customHeight="1" thickBot="1" x14ac:dyDescent="0.25">
      <c r="A21" s="10" t="str">
        <f t="shared" si="0"/>
        <v>IBVS 5843 </v>
      </c>
      <c r="B21" s="3" t="str">
        <f t="shared" si="1"/>
        <v>I</v>
      </c>
      <c r="C21" s="10">
        <f t="shared" si="2"/>
        <v>53474.599900000001</v>
      </c>
      <c r="D21" s="12" t="str">
        <f t="shared" si="3"/>
        <v>vis</v>
      </c>
      <c r="E21" s="40">
        <f>VLOOKUP(C21,Active!C$21:E$972,3,FALSE)</f>
        <v>39344.15316077989</v>
      </c>
      <c r="F21" s="3" t="s">
        <v>53</v>
      </c>
      <c r="G21" s="12" t="str">
        <f t="shared" si="4"/>
        <v>53474.5999</v>
      </c>
      <c r="H21" s="10">
        <f t="shared" si="5"/>
        <v>39342</v>
      </c>
      <c r="I21" s="41" t="s">
        <v>159</v>
      </c>
      <c r="J21" s="42" t="s">
        <v>160</v>
      </c>
      <c r="K21" s="41" t="s">
        <v>161</v>
      </c>
      <c r="L21" s="41" t="s">
        <v>162</v>
      </c>
      <c r="M21" s="42" t="s">
        <v>107</v>
      </c>
      <c r="N21" s="42" t="s">
        <v>124</v>
      </c>
      <c r="O21" s="43" t="s">
        <v>125</v>
      </c>
      <c r="P21" s="44" t="s">
        <v>126</v>
      </c>
    </row>
    <row r="22" spans="1:16" ht="12.75" customHeight="1" thickBot="1" x14ac:dyDescent="0.25">
      <c r="A22" s="10" t="str">
        <f t="shared" si="0"/>
        <v>IBVS 5843 </v>
      </c>
      <c r="B22" s="3" t="str">
        <f t="shared" si="1"/>
        <v>II</v>
      </c>
      <c r="C22" s="10">
        <f t="shared" si="2"/>
        <v>53474.758099999999</v>
      </c>
      <c r="D22" s="12" t="str">
        <f t="shared" si="3"/>
        <v>vis</v>
      </c>
      <c r="E22" s="40">
        <f>VLOOKUP(C22,Active!C$21:E$972,3,FALSE)</f>
        <v>39344.652813423389</v>
      </c>
      <c r="F22" s="3" t="s">
        <v>53</v>
      </c>
      <c r="G22" s="12" t="str">
        <f t="shared" si="4"/>
        <v>53474.7581</v>
      </c>
      <c r="H22" s="10">
        <f t="shared" si="5"/>
        <v>39342.5</v>
      </c>
      <c r="I22" s="41" t="s">
        <v>163</v>
      </c>
      <c r="J22" s="42" t="s">
        <v>164</v>
      </c>
      <c r="K22" s="41" t="s">
        <v>165</v>
      </c>
      <c r="L22" s="41" t="s">
        <v>166</v>
      </c>
      <c r="M22" s="42" t="s">
        <v>107</v>
      </c>
      <c r="N22" s="42" t="s">
        <v>124</v>
      </c>
      <c r="O22" s="43" t="s">
        <v>125</v>
      </c>
      <c r="P22" s="44" t="s">
        <v>126</v>
      </c>
    </row>
    <row r="23" spans="1:16" ht="12.75" customHeight="1" thickBot="1" x14ac:dyDescent="0.25">
      <c r="A23" s="10" t="str">
        <f t="shared" si="0"/>
        <v>IBVS 5843 </v>
      </c>
      <c r="B23" s="3" t="str">
        <f t="shared" si="1"/>
        <v>I</v>
      </c>
      <c r="C23" s="10">
        <f t="shared" si="2"/>
        <v>53475.5533</v>
      </c>
      <c r="D23" s="12" t="str">
        <f t="shared" si="3"/>
        <v>vis</v>
      </c>
      <c r="E23" s="40">
        <f>VLOOKUP(C23,Active!C$21:E$972,3,FALSE)</f>
        <v>39347.164341755342</v>
      </c>
      <c r="F23" s="3" t="s">
        <v>53</v>
      </c>
      <c r="G23" s="12" t="str">
        <f t="shared" si="4"/>
        <v>53475.5533</v>
      </c>
      <c r="H23" s="10">
        <f t="shared" si="5"/>
        <v>39345</v>
      </c>
      <c r="I23" s="41" t="s">
        <v>167</v>
      </c>
      <c r="J23" s="42" t="s">
        <v>168</v>
      </c>
      <c r="K23" s="41" t="s">
        <v>169</v>
      </c>
      <c r="L23" s="41" t="s">
        <v>170</v>
      </c>
      <c r="M23" s="42" t="s">
        <v>107</v>
      </c>
      <c r="N23" s="42" t="s">
        <v>124</v>
      </c>
      <c r="O23" s="43" t="s">
        <v>125</v>
      </c>
      <c r="P23" s="44" t="s">
        <v>126</v>
      </c>
    </row>
    <row r="24" spans="1:16" ht="12.75" customHeight="1" thickBot="1" x14ac:dyDescent="0.25">
      <c r="A24" s="10" t="str">
        <f t="shared" si="0"/>
        <v>IBVS 5843 </v>
      </c>
      <c r="B24" s="3" t="str">
        <f t="shared" si="1"/>
        <v>II</v>
      </c>
      <c r="C24" s="10">
        <f t="shared" si="2"/>
        <v>53477.607400000001</v>
      </c>
      <c r="D24" s="12" t="str">
        <f t="shared" si="3"/>
        <v>vis</v>
      </c>
      <c r="E24" s="40">
        <f>VLOOKUP(C24,Active!C$21:E$972,3,FALSE)</f>
        <v>39353.651930219443</v>
      </c>
      <c r="F24" s="3" t="s">
        <v>53</v>
      </c>
      <c r="G24" s="12" t="str">
        <f t="shared" si="4"/>
        <v>53477.6074</v>
      </c>
      <c r="H24" s="10">
        <f t="shared" si="5"/>
        <v>39351.5</v>
      </c>
      <c r="I24" s="41" t="s">
        <v>171</v>
      </c>
      <c r="J24" s="42" t="s">
        <v>172</v>
      </c>
      <c r="K24" s="41" t="s">
        <v>173</v>
      </c>
      <c r="L24" s="41" t="s">
        <v>174</v>
      </c>
      <c r="M24" s="42" t="s">
        <v>107</v>
      </c>
      <c r="N24" s="42" t="s">
        <v>124</v>
      </c>
      <c r="O24" s="43" t="s">
        <v>125</v>
      </c>
      <c r="P24" s="44" t="s">
        <v>126</v>
      </c>
    </row>
    <row r="25" spans="1:16" ht="12.75" customHeight="1" thickBot="1" x14ac:dyDescent="0.25">
      <c r="A25" s="10" t="str">
        <f t="shared" si="0"/>
        <v>IBVS 5843 </v>
      </c>
      <c r="B25" s="3" t="str">
        <f t="shared" si="1"/>
        <v>I</v>
      </c>
      <c r="C25" s="10">
        <f t="shared" si="2"/>
        <v>53477.772199999999</v>
      </c>
      <c r="D25" s="12" t="str">
        <f t="shared" si="3"/>
        <v>vis</v>
      </c>
      <c r="E25" s="40">
        <f>VLOOKUP(C25,Active!C$21:E$972,3,FALSE)</f>
        <v>39354.172428042759</v>
      </c>
      <c r="F25" s="3" t="s">
        <v>53</v>
      </c>
      <c r="G25" s="12" t="str">
        <f t="shared" si="4"/>
        <v>53477.7722</v>
      </c>
      <c r="H25" s="10">
        <f t="shared" si="5"/>
        <v>39352</v>
      </c>
      <c r="I25" s="41" t="s">
        <v>175</v>
      </c>
      <c r="J25" s="42" t="s">
        <v>176</v>
      </c>
      <c r="K25" s="41" t="s">
        <v>177</v>
      </c>
      <c r="L25" s="41" t="s">
        <v>178</v>
      </c>
      <c r="M25" s="42" t="s">
        <v>107</v>
      </c>
      <c r="N25" s="42" t="s">
        <v>124</v>
      </c>
      <c r="O25" s="43" t="s">
        <v>125</v>
      </c>
      <c r="P25" s="44" t="s">
        <v>126</v>
      </c>
    </row>
    <row r="26" spans="1:16" ht="12.75" customHeight="1" thickBot="1" x14ac:dyDescent="0.25">
      <c r="A26" s="10" t="str">
        <f t="shared" si="0"/>
        <v>IBVS 5843 </v>
      </c>
      <c r="B26" s="3" t="str">
        <f t="shared" si="1"/>
        <v>II</v>
      </c>
      <c r="C26" s="10">
        <f t="shared" si="2"/>
        <v>53478.563399999999</v>
      </c>
      <c r="D26" s="12" t="str">
        <f t="shared" si="3"/>
        <v>vis</v>
      </c>
      <c r="E26" s="40">
        <f>VLOOKUP(C26,Active!C$21:E$972,3,FALSE)</f>
        <v>39356.671322932394</v>
      </c>
      <c r="F26" s="3" t="s">
        <v>53</v>
      </c>
      <c r="G26" s="12" t="str">
        <f t="shared" si="4"/>
        <v>53478.5634</v>
      </c>
      <c r="H26" s="10">
        <f t="shared" si="5"/>
        <v>39354.5</v>
      </c>
      <c r="I26" s="41" t="s">
        <v>179</v>
      </c>
      <c r="J26" s="42" t="s">
        <v>180</v>
      </c>
      <c r="K26" s="41" t="s">
        <v>181</v>
      </c>
      <c r="L26" s="41" t="s">
        <v>182</v>
      </c>
      <c r="M26" s="42" t="s">
        <v>107</v>
      </c>
      <c r="N26" s="42" t="s">
        <v>124</v>
      </c>
      <c r="O26" s="43" t="s">
        <v>125</v>
      </c>
      <c r="P26" s="44" t="s">
        <v>126</v>
      </c>
    </row>
    <row r="27" spans="1:16" ht="12.75" customHeight="1" thickBot="1" x14ac:dyDescent="0.25">
      <c r="A27" s="10" t="str">
        <f t="shared" si="0"/>
        <v>IBVS 5843 </v>
      </c>
      <c r="B27" s="3" t="str">
        <f t="shared" si="1"/>
        <v>I</v>
      </c>
      <c r="C27" s="10">
        <f t="shared" si="2"/>
        <v>53478.724999999999</v>
      </c>
      <c r="D27" s="12" t="str">
        <f t="shared" si="3"/>
        <v>vis</v>
      </c>
      <c r="E27" s="40">
        <f>VLOOKUP(C27,Active!C$21:E$972,3,FALSE)</f>
        <v>39357.181714001861</v>
      </c>
      <c r="F27" s="3" t="s">
        <v>53</v>
      </c>
      <c r="G27" s="12" t="str">
        <f t="shared" si="4"/>
        <v>53478.7250</v>
      </c>
      <c r="H27" s="10">
        <f t="shared" si="5"/>
        <v>39355</v>
      </c>
      <c r="I27" s="41" t="s">
        <v>183</v>
      </c>
      <c r="J27" s="42" t="s">
        <v>184</v>
      </c>
      <c r="K27" s="41" t="s">
        <v>185</v>
      </c>
      <c r="L27" s="41" t="s">
        <v>186</v>
      </c>
      <c r="M27" s="42" t="s">
        <v>107</v>
      </c>
      <c r="N27" s="42" t="s">
        <v>124</v>
      </c>
      <c r="O27" s="43" t="s">
        <v>125</v>
      </c>
      <c r="P27" s="44" t="s">
        <v>126</v>
      </c>
    </row>
    <row r="28" spans="1:16" ht="12.75" customHeight="1" thickBot="1" x14ac:dyDescent="0.25">
      <c r="A28" s="10" t="str">
        <f t="shared" si="0"/>
        <v>IBVS 5843 </v>
      </c>
      <c r="B28" s="3" t="str">
        <f t="shared" si="1"/>
        <v>I</v>
      </c>
      <c r="C28" s="10">
        <f t="shared" si="2"/>
        <v>53480.623599999999</v>
      </c>
      <c r="D28" s="12" t="str">
        <f t="shared" si="3"/>
        <v>vis</v>
      </c>
      <c r="E28" s="40">
        <f>VLOOKUP(C28,Active!C$21:E$972,3,FALSE)</f>
        <v>39363.178177396025</v>
      </c>
      <c r="F28" s="3" t="s">
        <v>53</v>
      </c>
      <c r="G28" s="12" t="str">
        <f t="shared" si="4"/>
        <v>53480.6236</v>
      </c>
      <c r="H28" s="10">
        <f t="shared" si="5"/>
        <v>39361</v>
      </c>
      <c r="I28" s="41" t="s">
        <v>187</v>
      </c>
      <c r="J28" s="42" t="s">
        <v>188</v>
      </c>
      <c r="K28" s="41" t="s">
        <v>189</v>
      </c>
      <c r="L28" s="41" t="s">
        <v>190</v>
      </c>
      <c r="M28" s="42" t="s">
        <v>107</v>
      </c>
      <c r="N28" s="42" t="s">
        <v>124</v>
      </c>
      <c r="O28" s="43" t="s">
        <v>125</v>
      </c>
      <c r="P28" s="44" t="s">
        <v>126</v>
      </c>
    </row>
    <row r="29" spans="1:16" ht="12.75" customHeight="1" thickBot="1" x14ac:dyDescent="0.25">
      <c r="A29" s="10" t="str">
        <f t="shared" si="0"/>
        <v>IBVS 5843 </v>
      </c>
      <c r="B29" s="3" t="str">
        <f t="shared" si="1"/>
        <v>II</v>
      </c>
      <c r="C29" s="10">
        <f t="shared" si="2"/>
        <v>53480.779699999999</v>
      </c>
      <c r="D29" s="12" t="str">
        <f t="shared" si="3"/>
        <v>vis</v>
      </c>
      <c r="E29" s="40">
        <f>VLOOKUP(C29,Active!C$21:E$972,3,FALSE)</f>
        <v>39363.671197482312</v>
      </c>
      <c r="F29" s="3" t="s">
        <v>53</v>
      </c>
      <c r="G29" s="12" t="str">
        <f t="shared" si="4"/>
        <v>53480.7797</v>
      </c>
      <c r="H29" s="10">
        <f t="shared" si="5"/>
        <v>39361.5</v>
      </c>
      <c r="I29" s="41" t="s">
        <v>191</v>
      </c>
      <c r="J29" s="42" t="s">
        <v>192</v>
      </c>
      <c r="K29" s="41" t="s">
        <v>193</v>
      </c>
      <c r="L29" s="41" t="s">
        <v>194</v>
      </c>
      <c r="M29" s="42" t="s">
        <v>107</v>
      </c>
      <c r="N29" s="42" t="s">
        <v>124</v>
      </c>
      <c r="O29" s="43" t="s">
        <v>125</v>
      </c>
      <c r="P29" s="44" t="s">
        <v>126</v>
      </c>
    </row>
    <row r="30" spans="1:16" ht="12.75" customHeight="1" thickBot="1" x14ac:dyDescent="0.25">
      <c r="A30" s="10" t="str">
        <f t="shared" si="0"/>
        <v>IBVS 5843 </v>
      </c>
      <c r="B30" s="3" t="str">
        <f t="shared" si="1"/>
        <v>I</v>
      </c>
      <c r="C30" s="10">
        <f t="shared" si="2"/>
        <v>53504.684399999998</v>
      </c>
      <c r="D30" s="12" t="str">
        <f t="shared" si="3"/>
        <v>vis</v>
      </c>
      <c r="E30" s="40">
        <f>VLOOKUP(C30,Active!C$21:E$972,3,FALSE)</f>
        <v>39439.17085960089</v>
      </c>
      <c r="F30" s="3" t="s">
        <v>53</v>
      </c>
      <c r="G30" s="12" t="str">
        <f t="shared" si="4"/>
        <v>53504.6844</v>
      </c>
      <c r="H30" s="10">
        <f t="shared" si="5"/>
        <v>39437</v>
      </c>
      <c r="I30" s="41" t="s">
        <v>195</v>
      </c>
      <c r="J30" s="42" t="s">
        <v>196</v>
      </c>
      <c r="K30" s="41" t="s">
        <v>197</v>
      </c>
      <c r="L30" s="41" t="s">
        <v>198</v>
      </c>
      <c r="M30" s="42" t="s">
        <v>107</v>
      </c>
      <c r="N30" s="42" t="s">
        <v>124</v>
      </c>
      <c r="O30" s="43" t="s">
        <v>125</v>
      </c>
      <c r="P30" s="44" t="s">
        <v>126</v>
      </c>
    </row>
    <row r="31" spans="1:16" ht="12.75" customHeight="1" thickBot="1" x14ac:dyDescent="0.25">
      <c r="A31" s="10" t="str">
        <f t="shared" si="0"/>
        <v> AAPS 13.87 </v>
      </c>
      <c r="B31" s="3" t="str">
        <f t="shared" si="1"/>
        <v>I</v>
      </c>
      <c r="C31" s="10">
        <f t="shared" si="2"/>
        <v>41014.288</v>
      </c>
      <c r="D31" s="12" t="str">
        <f t="shared" si="3"/>
        <v>vis</v>
      </c>
      <c r="E31" s="40">
        <f>VLOOKUP(C31,Active!C$21:E$972,3,FALSE)</f>
        <v>-10.004738804205992</v>
      </c>
      <c r="F31" s="3" t="s">
        <v>53</v>
      </c>
      <c r="G31" s="12" t="str">
        <f t="shared" si="4"/>
        <v>41014.288</v>
      </c>
      <c r="H31" s="10">
        <f t="shared" si="5"/>
        <v>-10</v>
      </c>
      <c r="I31" s="41" t="s">
        <v>57</v>
      </c>
      <c r="J31" s="42" t="s">
        <v>58</v>
      </c>
      <c r="K31" s="41">
        <v>-10</v>
      </c>
      <c r="L31" s="41" t="s">
        <v>59</v>
      </c>
      <c r="M31" s="42" t="s">
        <v>60</v>
      </c>
      <c r="N31" s="42" t="s">
        <v>61</v>
      </c>
      <c r="O31" s="43" t="s">
        <v>62</v>
      </c>
      <c r="P31" s="43" t="s">
        <v>63</v>
      </c>
    </row>
    <row r="32" spans="1:16" ht="12.75" customHeight="1" thickBot="1" x14ac:dyDescent="0.25">
      <c r="A32" s="10" t="str">
        <f t="shared" si="0"/>
        <v> AAPS 13.87 </v>
      </c>
      <c r="B32" s="3" t="str">
        <f t="shared" si="1"/>
        <v>II</v>
      </c>
      <c r="C32" s="10">
        <f t="shared" si="2"/>
        <v>41017.296999999999</v>
      </c>
      <c r="D32" s="12" t="str">
        <f t="shared" si="3"/>
        <v>vis</v>
      </c>
      <c r="E32" s="40">
        <f>VLOOKUP(C32,Active!C$21:E$972,3,FALSE)</f>
        <v>-0.50123182379264231</v>
      </c>
      <c r="F32" s="3" t="s">
        <v>53</v>
      </c>
      <c r="G32" s="12" t="str">
        <f t="shared" si="4"/>
        <v>41017.297</v>
      </c>
      <c r="H32" s="10">
        <f t="shared" si="5"/>
        <v>-0.5</v>
      </c>
      <c r="I32" s="41" t="s">
        <v>64</v>
      </c>
      <c r="J32" s="42" t="s">
        <v>65</v>
      </c>
      <c r="K32" s="41">
        <v>-0.5</v>
      </c>
      <c r="L32" s="41" t="s">
        <v>66</v>
      </c>
      <c r="M32" s="42" t="s">
        <v>60</v>
      </c>
      <c r="N32" s="42" t="s">
        <v>61</v>
      </c>
      <c r="O32" s="43" t="s">
        <v>62</v>
      </c>
      <c r="P32" s="43" t="s">
        <v>63</v>
      </c>
    </row>
    <row r="33" spans="1:16" ht="12.75" customHeight="1" thickBot="1" x14ac:dyDescent="0.25">
      <c r="A33" s="10" t="str">
        <f t="shared" si="0"/>
        <v> AAPS 13.87 </v>
      </c>
      <c r="B33" s="3" t="str">
        <f t="shared" si="1"/>
        <v>I</v>
      </c>
      <c r="C33" s="10">
        <f t="shared" si="2"/>
        <v>41017.457999999999</v>
      </c>
      <c r="D33" s="12" t="str">
        <f t="shared" si="3"/>
        <v>vis</v>
      </c>
      <c r="E33" s="40">
        <f>VLOOKUP(C33,Active!C$21:E$972,3,FALSE)</f>
        <v>7.2642293306611934E-3</v>
      </c>
      <c r="F33" s="3" t="s">
        <v>53</v>
      </c>
      <c r="G33" s="12" t="str">
        <f t="shared" si="4"/>
        <v>41017.458</v>
      </c>
      <c r="H33" s="10">
        <f t="shared" si="5"/>
        <v>0</v>
      </c>
      <c r="I33" s="41" t="s">
        <v>67</v>
      </c>
      <c r="J33" s="42" t="s">
        <v>68</v>
      </c>
      <c r="K33" s="41">
        <v>0</v>
      </c>
      <c r="L33" s="41" t="s">
        <v>69</v>
      </c>
      <c r="M33" s="42" t="s">
        <v>60</v>
      </c>
      <c r="N33" s="42" t="s">
        <v>61</v>
      </c>
      <c r="O33" s="43" t="s">
        <v>62</v>
      </c>
      <c r="P33" s="43" t="s">
        <v>63</v>
      </c>
    </row>
    <row r="34" spans="1:16" ht="12.75" customHeight="1" thickBot="1" x14ac:dyDescent="0.25">
      <c r="A34" s="10" t="str">
        <f t="shared" si="0"/>
        <v> AAPS 13.87 </v>
      </c>
      <c r="B34" s="3" t="str">
        <f t="shared" si="1"/>
        <v>II</v>
      </c>
      <c r="C34" s="10">
        <f t="shared" si="2"/>
        <v>41028.377999999997</v>
      </c>
      <c r="D34" s="12" t="str">
        <f t="shared" si="3"/>
        <v>vis</v>
      </c>
      <c r="E34" s="40">
        <f>VLOOKUP(C34,Active!C$21:E$972,3,FALSE)</f>
        <v>34.496561745501957</v>
      </c>
      <c r="F34" s="3" t="s">
        <v>53</v>
      </c>
      <c r="G34" s="12" t="str">
        <f t="shared" si="4"/>
        <v>41028.378</v>
      </c>
      <c r="H34" s="10">
        <f t="shared" si="5"/>
        <v>34.5</v>
      </c>
      <c r="I34" s="41" t="s">
        <v>70</v>
      </c>
      <c r="J34" s="42" t="s">
        <v>71</v>
      </c>
      <c r="K34" s="41">
        <v>34.5</v>
      </c>
      <c r="L34" s="41" t="s">
        <v>72</v>
      </c>
      <c r="M34" s="42" t="s">
        <v>60</v>
      </c>
      <c r="N34" s="42" t="s">
        <v>61</v>
      </c>
      <c r="O34" s="43" t="s">
        <v>62</v>
      </c>
      <c r="P34" s="43" t="s">
        <v>63</v>
      </c>
    </row>
    <row r="35" spans="1:16" ht="12.75" customHeight="1" thickBot="1" x14ac:dyDescent="0.25">
      <c r="A35" s="10" t="str">
        <f t="shared" si="0"/>
        <v> AAPS 13.87 </v>
      </c>
      <c r="B35" s="3" t="str">
        <f t="shared" si="1"/>
        <v>II</v>
      </c>
      <c r="C35" s="10">
        <f t="shared" si="2"/>
        <v>41029.33</v>
      </c>
      <c r="D35" s="12" t="str">
        <f t="shared" si="3"/>
        <v>vis</v>
      </c>
      <c r="E35" s="40">
        <f>VLOOKUP(C35,Active!C$21:E$972,3,FALSE)</f>
        <v>37.503321016158083</v>
      </c>
      <c r="F35" s="3" t="s">
        <v>53</v>
      </c>
      <c r="G35" s="12" t="str">
        <f t="shared" si="4"/>
        <v>41029.330</v>
      </c>
      <c r="H35" s="10">
        <f t="shared" si="5"/>
        <v>37.5</v>
      </c>
      <c r="I35" s="41" t="s">
        <v>73</v>
      </c>
      <c r="J35" s="42" t="s">
        <v>74</v>
      </c>
      <c r="K35" s="41">
        <v>37.5</v>
      </c>
      <c r="L35" s="41" t="s">
        <v>75</v>
      </c>
      <c r="M35" s="42" t="s">
        <v>60</v>
      </c>
      <c r="N35" s="42" t="s">
        <v>61</v>
      </c>
      <c r="O35" s="43" t="s">
        <v>62</v>
      </c>
      <c r="P35" s="43" t="s">
        <v>63</v>
      </c>
    </row>
    <row r="36" spans="1:16" ht="12.75" customHeight="1" thickBot="1" x14ac:dyDescent="0.25">
      <c r="A36" s="10" t="str">
        <f t="shared" si="0"/>
        <v> AAPS 13.87 </v>
      </c>
      <c r="B36" s="3" t="str">
        <f t="shared" si="1"/>
        <v>II</v>
      </c>
      <c r="C36" s="10">
        <f t="shared" si="2"/>
        <v>41034.398000000001</v>
      </c>
      <c r="D36" s="12" t="str">
        <f t="shared" si="3"/>
        <v>vis</v>
      </c>
      <c r="E36" s="40">
        <f>VLOOKUP(C36,Active!C$21:E$972,3,FALSE)</f>
        <v>53.509892427509733</v>
      </c>
      <c r="F36" s="3" t="s">
        <v>53</v>
      </c>
      <c r="G36" s="12" t="str">
        <f t="shared" si="4"/>
        <v>41034.398</v>
      </c>
      <c r="H36" s="10">
        <f t="shared" si="5"/>
        <v>53.5</v>
      </c>
      <c r="I36" s="41" t="s">
        <v>76</v>
      </c>
      <c r="J36" s="42" t="s">
        <v>77</v>
      </c>
      <c r="K36" s="41">
        <v>53.5</v>
      </c>
      <c r="L36" s="41" t="s">
        <v>69</v>
      </c>
      <c r="M36" s="42" t="s">
        <v>60</v>
      </c>
      <c r="N36" s="42" t="s">
        <v>61</v>
      </c>
      <c r="O36" s="43" t="s">
        <v>62</v>
      </c>
      <c r="P36" s="43" t="s">
        <v>63</v>
      </c>
    </row>
    <row r="37" spans="1:16" ht="12.75" customHeight="1" thickBot="1" x14ac:dyDescent="0.25">
      <c r="A37" s="10" t="str">
        <f t="shared" si="0"/>
        <v> AAPS 13.87 </v>
      </c>
      <c r="B37" s="3" t="str">
        <f t="shared" si="1"/>
        <v>II</v>
      </c>
      <c r="C37" s="10">
        <f t="shared" si="2"/>
        <v>41037.252</v>
      </c>
      <c r="D37" s="12" t="str">
        <f t="shared" si="3"/>
        <v>vis</v>
      </c>
      <c r="E37" s="40">
        <f>VLOOKUP(C37,Active!C$21:E$972,3,FALSE)</f>
        <v>62.523853518274066</v>
      </c>
      <c r="F37" s="3" t="s">
        <v>53</v>
      </c>
      <c r="G37" s="12" t="str">
        <f t="shared" si="4"/>
        <v>41037.252</v>
      </c>
      <c r="H37" s="10">
        <f t="shared" si="5"/>
        <v>62.5</v>
      </c>
      <c r="I37" s="41" t="s">
        <v>78</v>
      </c>
      <c r="J37" s="42" t="s">
        <v>79</v>
      </c>
      <c r="K37" s="41">
        <v>62.5</v>
      </c>
      <c r="L37" s="41" t="s">
        <v>80</v>
      </c>
      <c r="M37" s="42" t="s">
        <v>60</v>
      </c>
      <c r="N37" s="42" t="s">
        <v>61</v>
      </c>
      <c r="O37" s="43" t="s">
        <v>62</v>
      </c>
      <c r="P37" s="43" t="s">
        <v>63</v>
      </c>
    </row>
    <row r="38" spans="1:16" ht="12.75" customHeight="1" thickBot="1" x14ac:dyDescent="0.25">
      <c r="A38" s="10" t="str">
        <f t="shared" si="0"/>
        <v> AAPS 13.87 </v>
      </c>
      <c r="B38" s="3" t="str">
        <f t="shared" si="1"/>
        <v>I</v>
      </c>
      <c r="C38" s="10">
        <f t="shared" si="2"/>
        <v>41037.398999999998</v>
      </c>
      <c r="D38" s="12" t="str">
        <f t="shared" si="3"/>
        <v>vis</v>
      </c>
      <c r="E38" s="40">
        <f>VLOOKUP(C38,Active!C$21:E$972,3,FALSE)</f>
        <v>62.988132523290702</v>
      </c>
      <c r="F38" s="3" t="s">
        <v>53</v>
      </c>
      <c r="G38" s="12" t="str">
        <f t="shared" si="4"/>
        <v>41037.399</v>
      </c>
      <c r="H38" s="10">
        <f t="shared" si="5"/>
        <v>63</v>
      </c>
      <c r="I38" s="41" t="s">
        <v>81</v>
      </c>
      <c r="J38" s="42" t="s">
        <v>82</v>
      </c>
      <c r="K38" s="41">
        <v>63</v>
      </c>
      <c r="L38" s="41" t="s">
        <v>83</v>
      </c>
      <c r="M38" s="42" t="s">
        <v>60</v>
      </c>
      <c r="N38" s="42" t="s">
        <v>61</v>
      </c>
      <c r="O38" s="43" t="s">
        <v>62</v>
      </c>
      <c r="P38" s="43" t="s">
        <v>63</v>
      </c>
    </row>
    <row r="39" spans="1:16" ht="12.75" customHeight="1" thickBot="1" x14ac:dyDescent="0.25">
      <c r="A39" s="10" t="str">
        <f t="shared" si="0"/>
        <v> AAPS 13.87 </v>
      </c>
      <c r="B39" s="3" t="str">
        <f t="shared" si="1"/>
        <v>I</v>
      </c>
      <c r="C39" s="10">
        <f t="shared" si="2"/>
        <v>41040.250999999997</v>
      </c>
      <c r="D39" s="12" t="str">
        <f t="shared" si="3"/>
        <v>vis</v>
      </c>
      <c r="E39" s="40">
        <f>VLOOKUP(C39,Active!C$21:E$972,3,FALSE)</f>
        <v>71.995776892896941</v>
      </c>
      <c r="F39" s="3" t="s">
        <v>53</v>
      </c>
      <c r="G39" s="12" t="str">
        <f t="shared" si="4"/>
        <v>41040.251</v>
      </c>
      <c r="H39" s="10">
        <f t="shared" si="5"/>
        <v>72</v>
      </c>
      <c r="I39" s="41" t="s">
        <v>84</v>
      </c>
      <c r="J39" s="42" t="s">
        <v>85</v>
      </c>
      <c r="K39" s="41">
        <v>72</v>
      </c>
      <c r="L39" s="41" t="s">
        <v>55</v>
      </c>
      <c r="M39" s="42" t="s">
        <v>60</v>
      </c>
      <c r="N39" s="42" t="s">
        <v>61</v>
      </c>
      <c r="O39" s="43" t="s">
        <v>62</v>
      </c>
      <c r="P39" s="43" t="s">
        <v>63</v>
      </c>
    </row>
    <row r="40" spans="1:16" ht="12.75" customHeight="1" thickBot="1" x14ac:dyDescent="0.25">
      <c r="A40" s="10" t="str">
        <f t="shared" si="0"/>
        <v> AAPS 13.87 </v>
      </c>
      <c r="B40" s="3" t="str">
        <f t="shared" si="1"/>
        <v>II</v>
      </c>
      <c r="C40" s="10">
        <f t="shared" si="2"/>
        <v>41040.409</v>
      </c>
      <c r="D40" s="12" t="str">
        <f t="shared" si="3"/>
        <v>vis</v>
      </c>
      <c r="E40" s="40">
        <f>VLOOKUP(C40,Active!C$21:E$972,3,FALSE)</f>
        <v>72.494797864294583</v>
      </c>
      <c r="F40" s="3" t="s">
        <v>53</v>
      </c>
      <c r="G40" s="12" t="str">
        <f t="shared" si="4"/>
        <v>41040.409</v>
      </c>
      <c r="H40" s="10">
        <f t="shared" si="5"/>
        <v>72.5</v>
      </c>
      <c r="I40" s="41" t="s">
        <v>86</v>
      </c>
      <c r="J40" s="42" t="s">
        <v>87</v>
      </c>
      <c r="K40" s="41">
        <v>72.5</v>
      </c>
      <c r="L40" s="41" t="s">
        <v>55</v>
      </c>
      <c r="M40" s="42" t="s">
        <v>60</v>
      </c>
      <c r="N40" s="42" t="s">
        <v>61</v>
      </c>
      <c r="O40" s="43" t="s">
        <v>62</v>
      </c>
      <c r="P40" s="43" t="s">
        <v>63</v>
      </c>
    </row>
    <row r="41" spans="1:16" ht="12.75" customHeight="1" thickBot="1" x14ac:dyDescent="0.25">
      <c r="A41" s="10" t="str">
        <f t="shared" si="0"/>
        <v> AAPS 13.87 </v>
      </c>
      <c r="B41" s="3" t="str">
        <f t="shared" si="1"/>
        <v>II</v>
      </c>
      <c r="C41" s="10">
        <f t="shared" si="2"/>
        <v>41041.360999999997</v>
      </c>
      <c r="D41" s="12" t="str">
        <f t="shared" si="3"/>
        <v>vis</v>
      </c>
      <c r="E41" s="40">
        <f>VLOOKUP(C41,Active!C$21:E$972,3,FALSE)</f>
        <v>75.501557134927737</v>
      </c>
      <c r="F41" s="3" t="s">
        <v>53</v>
      </c>
      <c r="G41" s="12" t="str">
        <f t="shared" si="4"/>
        <v>41041.361</v>
      </c>
      <c r="H41" s="10">
        <f t="shared" si="5"/>
        <v>75.5</v>
      </c>
      <c r="I41" s="41" t="s">
        <v>88</v>
      </c>
      <c r="J41" s="42" t="s">
        <v>89</v>
      </c>
      <c r="K41" s="41">
        <v>75.5</v>
      </c>
      <c r="L41" s="41" t="s">
        <v>59</v>
      </c>
      <c r="M41" s="42" t="s">
        <v>60</v>
      </c>
      <c r="N41" s="42" t="s">
        <v>61</v>
      </c>
      <c r="O41" s="43" t="s">
        <v>62</v>
      </c>
      <c r="P41" s="43" t="s">
        <v>63</v>
      </c>
    </row>
    <row r="42" spans="1:16" ht="12.75" customHeight="1" thickBot="1" x14ac:dyDescent="0.25">
      <c r="A42" s="10" t="str">
        <f t="shared" si="0"/>
        <v> AAPS 13.87 </v>
      </c>
      <c r="B42" s="3" t="str">
        <f t="shared" si="1"/>
        <v>II</v>
      </c>
      <c r="C42" s="10">
        <f t="shared" si="2"/>
        <v>41044.213000000003</v>
      </c>
      <c r="D42" s="12" t="str">
        <f t="shared" si="3"/>
        <v>vis</v>
      </c>
      <c r="E42" s="40">
        <f>VLOOKUP(C42,Active!C$21:E$972,3,FALSE)</f>
        <v>84.509201504556955</v>
      </c>
      <c r="F42" s="3" t="s">
        <v>53</v>
      </c>
      <c r="G42" s="12" t="str">
        <f t="shared" si="4"/>
        <v>41044.213</v>
      </c>
      <c r="H42" s="10">
        <f t="shared" si="5"/>
        <v>84.5</v>
      </c>
      <c r="I42" s="41" t="s">
        <v>90</v>
      </c>
      <c r="J42" s="42" t="s">
        <v>91</v>
      </c>
      <c r="K42" s="41">
        <v>84.5</v>
      </c>
      <c r="L42" s="41" t="s">
        <v>92</v>
      </c>
      <c r="M42" s="42" t="s">
        <v>60</v>
      </c>
      <c r="N42" s="42" t="s">
        <v>61</v>
      </c>
      <c r="O42" s="43" t="s">
        <v>62</v>
      </c>
      <c r="P42" s="43" t="s">
        <v>63</v>
      </c>
    </row>
    <row r="43" spans="1:16" ht="12.75" customHeight="1" thickBot="1" x14ac:dyDescent="0.25">
      <c r="A43" s="10" t="str">
        <f t="shared" si="0"/>
        <v> AAPS 13.87 </v>
      </c>
      <c r="B43" s="3" t="str">
        <f t="shared" si="1"/>
        <v>II</v>
      </c>
      <c r="C43" s="10">
        <f t="shared" si="2"/>
        <v>41369.398000000001</v>
      </c>
      <c r="D43" s="12" t="str">
        <f t="shared" si="3"/>
        <v>vis</v>
      </c>
      <c r="E43" s="40">
        <f>VLOOKUP(C43,Active!C$21:E$972,3,FALSE)</f>
        <v>1111.5606861930071</v>
      </c>
      <c r="F43" s="3" t="s">
        <v>53</v>
      </c>
      <c r="G43" s="12" t="str">
        <f t="shared" si="4"/>
        <v>41369.398</v>
      </c>
      <c r="H43" s="10">
        <f t="shared" si="5"/>
        <v>1111.5</v>
      </c>
      <c r="I43" s="41" t="s">
        <v>93</v>
      </c>
      <c r="J43" s="42" t="s">
        <v>94</v>
      </c>
      <c r="K43" s="41">
        <v>1111.5</v>
      </c>
      <c r="L43" s="41" t="s">
        <v>72</v>
      </c>
      <c r="M43" s="42" t="s">
        <v>60</v>
      </c>
      <c r="N43" s="42" t="s">
        <v>61</v>
      </c>
      <c r="O43" s="43" t="s">
        <v>62</v>
      </c>
      <c r="P43" s="43" t="s">
        <v>63</v>
      </c>
    </row>
    <row r="44" spans="1:16" ht="12.75" customHeight="1" thickBot="1" x14ac:dyDescent="0.25">
      <c r="A44" s="10" t="str">
        <f t="shared" si="0"/>
        <v> AAPS 13.87 </v>
      </c>
      <c r="B44" s="3" t="str">
        <f t="shared" si="1"/>
        <v>I</v>
      </c>
      <c r="C44" s="10">
        <f t="shared" si="2"/>
        <v>41412.305</v>
      </c>
      <c r="D44" s="12" t="str">
        <f t="shared" si="3"/>
        <v>vis</v>
      </c>
      <c r="E44" s="40">
        <f>VLOOKUP(C44,Active!C$21:E$972,3,FALSE)</f>
        <v>1247.0764635306052</v>
      </c>
      <c r="F44" s="3" t="s">
        <v>53</v>
      </c>
      <c r="G44" s="12" t="str">
        <f t="shared" si="4"/>
        <v>41412.305</v>
      </c>
      <c r="H44" s="10">
        <f t="shared" si="5"/>
        <v>1247</v>
      </c>
      <c r="I44" s="41" t="s">
        <v>95</v>
      </c>
      <c r="J44" s="42" t="s">
        <v>96</v>
      </c>
      <c r="K44" s="41">
        <v>1247</v>
      </c>
      <c r="L44" s="41" t="s">
        <v>92</v>
      </c>
      <c r="M44" s="42" t="s">
        <v>60</v>
      </c>
      <c r="N44" s="42" t="s">
        <v>61</v>
      </c>
      <c r="O44" s="43" t="s">
        <v>62</v>
      </c>
      <c r="P44" s="43" t="s">
        <v>63</v>
      </c>
    </row>
    <row r="45" spans="1:16" ht="12.75" customHeight="1" thickBot="1" x14ac:dyDescent="0.25">
      <c r="A45" s="10" t="str">
        <f t="shared" si="0"/>
        <v> AAPS 13.87 </v>
      </c>
      <c r="B45" s="3" t="str">
        <f t="shared" si="1"/>
        <v>II</v>
      </c>
      <c r="C45" s="10">
        <f t="shared" si="2"/>
        <v>41436.212</v>
      </c>
      <c r="D45" s="12" t="str">
        <f t="shared" si="3"/>
        <v>vis</v>
      </c>
      <c r="E45" s="40">
        <f>VLOOKUP(C45,Active!C$21:E$972,3,FALSE)</f>
        <v>1322.5833898785186</v>
      </c>
      <c r="F45" s="3" t="s">
        <v>53</v>
      </c>
      <c r="G45" s="12" t="str">
        <f t="shared" si="4"/>
        <v>41436.212</v>
      </c>
      <c r="H45" s="10">
        <f t="shared" si="5"/>
        <v>1322.5</v>
      </c>
      <c r="I45" s="41" t="s">
        <v>97</v>
      </c>
      <c r="J45" s="42" t="s">
        <v>98</v>
      </c>
      <c r="K45" s="41">
        <v>1322.5</v>
      </c>
      <c r="L45" s="41" t="s">
        <v>69</v>
      </c>
      <c r="M45" s="42" t="s">
        <v>60</v>
      </c>
      <c r="N45" s="42" t="s">
        <v>61</v>
      </c>
      <c r="O45" s="43" t="s">
        <v>62</v>
      </c>
      <c r="P45" s="43" t="s">
        <v>63</v>
      </c>
    </row>
    <row r="46" spans="1:16" ht="12.75" customHeight="1" thickBot="1" x14ac:dyDescent="0.25">
      <c r="A46" s="10" t="str">
        <f t="shared" si="0"/>
        <v>VSB 47 </v>
      </c>
      <c r="B46" s="3" t="str">
        <f t="shared" si="1"/>
        <v>I</v>
      </c>
      <c r="C46" s="10">
        <f t="shared" si="2"/>
        <v>49459.082000000002</v>
      </c>
      <c r="D46" s="12" t="str">
        <f t="shared" si="3"/>
        <v>vis</v>
      </c>
      <c r="E46" s="40">
        <f>VLOOKUP(C46,Active!C$21:E$972,3,FALSE)</f>
        <v>26661.699723542395</v>
      </c>
      <c r="F46" s="3" t="s">
        <v>53</v>
      </c>
      <c r="G46" s="12" t="str">
        <f t="shared" si="4"/>
        <v>49459.082</v>
      </c>
      <c r="H46" s="10">
        <f t="shared" si="5"/>
        <v>26660</v>
      </c>
      <c r="I46" s="41" t="s">
        <v>99</v>
      </c>
      <c r="J46" s="42" t="s">
        <v>100</v>
      </c>
      <c r="K46" s="41">
        <v>26660</v>
      </c>
      <c r="L46" s="41" t="s">
        <v>101</v>
      </c>
      <c r="M46" s="42" t="s">
        <v>56</v>
      </c>
      <c r="N46" s="42"/>
      <c r="O46" s="43" t="s">
        <v>102</v>
      </c>
      <c r="P46" s="44" t="s">
        <v>103</v>
      </c>
    </row>
    <row r="47" spans="1:16" ht="12.75" customHeight="1" thickBot="1" x14ac:dyDescent="0.25">
      <c r="A47" s="10" t="str">
        <f t="shared" si="0"/>
        <v>VSB 47 </v>
      </c>
      <c r="B47" s="3" t="str">
        <f t="shared" si="1"/>
        <v>II</v>
      </c>
      <c r="C47" s="10">
        <f t="shared" si="2"/>
        <v>50562.993999999999</v>
      </c>
      <c r="D47" s="12" t="str">
        <f t="shared" si="3"/>
        <v>vis</v>
      </c>
      <c r="E47" s="40">
        <f>VLOOKUP(C47,Active!C$21:E$972,3,FALSE)</f>
        <v>30148.251866370018</v>
      </c>
      <c r="F47" s="3" t="s">
        <v>53</v>
      </c>
      <c r="G47" s="12" t="str">
        <f t="shared" si="4"/>
        <v>50562.994</v>
      </c>
      <c r="H47" s="10">
        <f t="shared" si="5"/>
        <v>30146.5</v>
      </c>
      <c r="I47" s="41" t="s">
        <v>104</v>
      </c>
      <c r="J47" s="42" t="s">
        <v>105</v>
      </c>
      <c r="K47" s="41">
        <v>30146.5</v>
      </c>
      <c r="L47" s="41" t="s">
        <v>106</v>
      </c>
      <c r="M47" s="42" t="s">
        <v>107</v>
      </c>
      <c r="N47" s="42" t="s">
        <v>53</v>
      </c>
      <c r="O47" s="43" t="s">
        <v>102</v>
      </c>
      <c r="P47" s="44" t="s">
        <v>103</v>
      </c>
    </row>
    <row r="48" spans="1:16" ht="12.75" customHeight="1" thickBot="1" x14ac:dyDescent="0.25">
      <c r="A48" s="10" t="str">
        <f t="shared" si="0"/>
        <v>VSB 40 </v>
      </c>
      <c r="B48" s="3" t="str">
        <f t="shared" si="1"/>
        <v>II</v>
      </c>
      <c r="C48" s="10">
        <f t="shared" si="2"/>
        <v>52350.127099999998</v>
      </c>
      <c r="D48" s="12" t="str">
        <f t="shared" si="3"/>
        <v>vis</v>
      </c>
      <c r="E48" s="40">
        <f>VLOOKUP(C48,Active!C$21:E$972,3,FALSE)</f>
        <v>35792.662597771792</v>
      </c>
      <c r="F48" s="3" t="s">
        <v>53</v>
      </c>
      <c r="G48" s="12" t="str">
        <f t="shared" si="4"/>
        <v>52350.1271</v>
      </c>
      <c r="H48" s="10">
        <f t="shared" si="5"/>
        <v>35790.5</v>
      </c>
      <c r="I48" s="41" t="s">
        <v>108</v>
      </c>
      <c r="J48" s="42" t="s">
        <v>109</v>
      </c>
      <c r="K48" s="41">
        <v>35790.5</v>
      </c>
      <c r="L48" s="41" t="s">
        <v>110</v>
      </c>
      <c r="M48" s="42" t="s">
        <v>60</v>
      </c>
      <c r="N48" s="42" t="s">
        <v>61</v>
      </c>
      <c r="O48" s="43" t="s">
        <v>111</v>
      </c>
      <c r="P48" s="44" t="s">
        <v>112</v>
      </c>
    </row>
    <row r="49" spans="1:16" ht="12.75" customHeight="1" thickBot="1" x14ac:dyDescent="0.25">
      <c r="A49" s="10" t="str">
        <f t="shared" si="0"/>
        <v>VSB 40 </v>
      </c>
      <c r="B49" s="3" t="str">
        <f t="shared" si="1"/>
        <v>I</v>
      </c>
      <c r="C49" s="10">
        <f t="shared" si="2"/>
        <v>52366.122000000003</v>
      </c>
      <c r="D49" s="12" t="str">
        <f t="shared" si="3"/>
        <v>vis</v>
      </c>
      <c r="E49" s="40">
        <f>VLOOKUP(C49,Active!C$21:E$972,3,FALSE)</f>
        <v>35843.180259387329</v>
      </c>
      <c r="F49" s="3" t="s">
        <v>53</v>
      </c>
      <c r="G49" s="12" t="str">
        <f t="shared" si="4"/>
        <v>52366.1220</v>
      </c>
      <c r="H49" s="10">
        <f t="shared" si="5"/>
        <v>35841</v>
      </c>
      <c r="I49" s="41" t="s">
        <v>113</v>
      </c>
      <c r="J49" s="42" t="s">
        <v>114</v>
      </c>
      <c r="K49" s="41">
        <v>35841</v>
      </c>
      <c r="L49" s="41" t="s">
        <v>115</v>
      </c>
      <c r="M49" s="42" t="s">
        <v>60</v>
      </c>
      <c r="N49" s="42" t="s">
        <v>61</v>
      </c>
      <c r="O49" s="43" t="s">
        <v>102</v>
      </c>
      <c r="P49" s="44" t="s">
        <v>112</v>
      </c>
    </row>
    <row r="50" spans="1:16" ht="12.75" customHeight="1" thickBot="1" x14ac:dyDescent="0.25">
      <c r="A50" s="10" t="str">
        <f t="shared" si="0"/>
        <v>VSB 45 </v>
      </c>
      <c r="B50" s="3" t="str">
        <f t="shared" si="1"/>
        <v>I</v>
      </c>
      <c r="C50" s="10">
        <f t="shared" si="2"/>
        <v>53797.2376</v>
      </c>
      <c r="D50" s="12" t="str">
        <f t="shared" si="3"/>
        <v>vis</v>
      </c>
      <c r="E50" s="40">
        <f>VLOOKUP(C50,Active!C$21:E$972,3,FALSE)</f>
        <v>40363.159353566982</v>
      </c>
      <c r="F50" s="3" t="s">
        <v>53</v>
      </c>
      <c r="G50" s="12" t="str">
        <f t="shared" si="4"/>
        <v>53797.2376</v>
      </c>
      <c r="H50" s="10">
        <f t="shared" si="5"/>
        <v>40361</v>
      </c>
      <c r="I50" s="41" t="s">
        <v>199</v>
      </c>
      <c r="J50" s="42" t="s">
        <v>200</v>
      </c>
      <c r="K50" s="41" t="s">
        <v>201</v>
      </c>
      <c r="L50" s="41" t="s">
        <v>202</v>
      </c>
      <c r="M50" s="42" t="s">
        <v>60</v>
      </c>
      <c r="N50" s="42" t="s">
        <v>61</v>
      </c>
      <c r="O50" s="43" t="s">
        <v>203</v>
      </c>
      <c r="P50" s="44" t="s">
        <v>204</v>
      </c>
    </row>
    <row r="51" spans="1:16" ht="12.75" customHeight="1" thickBot="1" x14ac:dyDescent="0.25">
      <c r="A51" s="10" t="str">
        <f t="shared" si="0"/>
        <v>VSB 45 </v>
      </c>
      <c r="B51" s="3" t="str">
        <f t="shared" si="1"/>
        <v>II</v>
      </c>
      <c r="C51" s="10">
        <f t="shared" si="2"/>
        <v>53799.295400000003</v>
      </c>
      <c r="D51" s="12" t="str">
        <f t="shared" si="3"/>
        <v>vis</v>
      </c>
      <c r="E51" s="40">
        <f>VLOOKUP(C51,Active!C$21:E$972,3,FALSE)</f>
        <v>40369.658627965226</v>
      </c>
      <c r="F51" s="3" t="s">
        <v>53</v>
      </c>
      <c r="G51" s="12" t="str">
        <f t="shared" si="4"/>
        <v>53799.2954</v>
      </c>
      <c r="H51" s="10">
        <f t="shared" si="5"/>
        <v>40367.5</v>
      </c>
      <c r="I51" s="41" t="s">
        <v>205</v>
      </c>
      <c r="J51" s="42" t="s">
        <v>206</v>
      </c>
      <c r="K51" s="41" t="s">
        <v>207</v>
      </c>
      <c r="L51" s="41" t="s">
        <v>208</v>
      </c>
      <c r="M51" s="42" t="s">
        <v>60</v>
      </c>
      <c r="N51" s="42" t="s">
        <v>61</v>
      </c>
      <c r="O51" s="43" t="s">
        <v>203</v>
      </c>
      <c r="P51" s="44" t="s">
        <v>204</v>
      </c>
    </row>
    <row r="52" spans="1:16" ht="12.75" customHeight="1" thickBot="1" x14ac:dyDescent="0.25">
      <c r="A52" s="10" t="str">
        <f t="shared" si="0"/>
        <v>VSB 45 </v>
      </c>
      <c r="B52" s="3" t="str">
        <f t="shared" si="1"/>
        <v>II</v>
      </c>
      <c r="C52" s="10">
        <f t="shared" si="2"/>
        <v>53809.111400000002</v>
      </c>
      <c r="D52" s="12" t="str">
        <f t="shared" si="3"/>
        <v>vis</v>
      </c>
      <c r="E52" s="40">
        <f>VLOOKUP(C52,Active!C$21:E$972,3,FALSE)</f>
        <v>40400.661095402844</v>
      </c>
      <c r="F52" s="3" t="s">
        <v>53</v>
      </c>
      <c r="G52" s="12" t="str">
        <f t="shared" si="4"/>
        <v>53809.1114</v>
      </c>
      <c r="H52" s="10">
        <f t="shared" si="5"/>
        <v>40398.5</v>
      </c>
      <c r="I52" s="41" t="s">
        <v>209</v>
      </c>
      <c r="J52" s="42" t="s">
        <v>210</v>
      </c>
      <c r="K52" s="41" t="s">
        <v>211</v>
      </c>
      <c r="L52" s="41" t="s">
        <v>212</v>
      </c>
      <c r="M52" s="42" t="s">
        <v>60</v>
      </c>
      <c r="N52" s="42" t="s">
        <v>61</v>
      </c>
      <c r="O52" s="43" t="s">
        <v>203</v>
      </c>
      <c r="P52" s="44" t="s">
        <v>204</v>
      </c>
    </row>
    <row r="53" spans="1:16" ht="12.75" customHeight="1" thickBot="1" x14ac:dyDescent="0.25">
      <c r="A53" s="10" t="str">
        <f t="shared" si="0"/>
        <v>VSB 46 </v>
      </c>
      <c r="B53" s="3" t="str">
        <f t="shared" si="1"/>
        <v>II</v>
      </c>
      <c r="C53" s="10">
        <f t="shared" si="2"/>
        <v>54135.231</v>
      </c>
      <c r="D53" s="12" t="str">
        <f t="shared" si="3"/>
        <v>vis</v>
      </c>
      <c r="E53" s="40">
        <f>VLOOKUP(C53,Active!C$21:E$972,3,FALSE)</f>
        <v>41430.664383887874</v>
      </c>
      <c r="F53" s="3" t="s">
        <v>53</v>
      </c>
      <c r="G53" s="12" t="str">
        <f t="shared" si="4"/>
        <v>54135.2310</v>
      </c>
      <c r="H53" s="10">
        <f t="shared" si="5"/>
        <v>41428.5</v>
      </c>
      <c r="I53" s="41" t="s">
        <v>213</v>
      </c>
      <c r="J53" s="42" t="s">
        <v>214</v>
      </c>
      <c r="K53" s="41" t="s">
        <v>215</v>
      </c>
      <c r="L53" s="41" t="s">
        <v>216</v>
      </c>
      <c r="M53" s="42" t="s">
        <v>107</v>
      </c>
      <c r="N53" s="42" t="s">
        <v>217</v>
      </c>
      <c r="O53" s="43" t="s">
        <v>218</v>
      </c>
      <c r="P53" s="44" t="s">
        <v>219</v>
      </c>
    </row>
    <row r="54" spans="1:16" ht="12.75" customHeight="1" thickBot="1" x14ac:dyDescent="0.25">
      <c r="A54" s="10" t="str">
        <f t="shared" si="0"/>
        <v>VSB 56 </v>
      </c>
      <c r="B54" s="3" t="str">
        <f t="shared" si="1"/>
        <v>II</v>
      </c>
      <c r="C54" s="10">
        <f t="shared" si="2"/>
        <v>56396.0242</v>
      </c>
      <c r="D54" s="12" t="str">
        <f t="shared" si="3"/>
        <v>vis</v>
      </c>
      <c r="E54" s="40">
        <f>VLOOKUP(C54,Active!C$21:E$972,3,FALSE)</f>
        <v>48571.06450269276</v>
      </c>
      <c r="F54" s="3" t="s">
        <v>53</v>
      </c>
      <c r="G54" s="12" t="str">
        <f t="shared" si="4"/>
        <v>56396.0242</v>
      </c>
      <c r="H54" s="10">
        <f t="shared" si="5"/>
        <v>48568.5</v>
      </c>
      <c r="I54" s="41" t="s">
        <v>220</v>
      </c>
      <c r="J54" s="42" t="s">
        <v>221</v>
      </c>
      <c r="K54" s="41" t="s">
        <v>222</v>
      </c>
      <c r="L54" s="41" t="s">
        <v>223</v>
      </c>
      <c r="M54" s="42" t="s">
        <v>107</v>
      </c>
      <c r="N54" s="42" t="s">
        <v>217</v>
      </c>
      <c r="O54" s="43" t="s">
        <v>102</v>
      </c>
      <c r="P54" s="44" t="s">
        <v>224</v>
      </c>
    </row>
    <row r="55" spans="1:16" x14ac:dyDescent="0.2">
      <c r="B55" s="3"/>
      <c r="F55" s="3"/>
    </row>
    <row r="56" spans="1:16" x14ac:dyDescent="0.2">
      <c r="B56" s="3"/>
      <c r="F56" s="3"/>
    </row>
    <row r="57" spans="1:16" x14ac:dyDescent="0.2">
      <c r="B57" s="3"/>
      <c r="F57" s="3"/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</sheetData>
  <phoneticPr fontId="8" type="noConversion"/>
  <hyperlinks>
    <hyperlink ref="P46" r:id="rId1" display="http://vsolj.cetus-net.org/no47.pdf" xr:uid="{00000000-0004-0000-0100-000000000000}"/>
    <hyperlink ref="P47" r:id="rId2" display="http://vsolj.cetus-net.org/no47.pdf" xr:uid="{00000000-0004-0000-0100-000001000000}"/>
    <hyperlink ref="P48" r:id="rId3" display="http://vsolj.cetus-net.org/no40.pdf" xr:uid="{00000000-0004-0000-0100-000002000000}"/>
    <hyperlink ref="P49" r:id="rId4" display="http://vsolj.cetus-net.org/no40.pdf" xr:uid="{00000000-0004-0000-0100-000003000000}"/>
    <hyperlink ref="P11" r:id="rId5" display="http://www.konkoly.hu/cgi-bin/IBVS?5603" xr:uid="{00000000-0004-0000-0100-000004000000}"/>
    <hyperlink ref="P12" r:id="rId6" display="http://www.konkoly.hu/cgi-bin/IBVS?5843" xr:uid="{00000000-0004-0000-0100-000005000000}"/>
    <hyperlink ref="P13" r:id="rId7" display="http://www.konkoly.hu/cgi-bin/IBVS?5843" xr:uid="{00000000-0004-0000-0100-000006000000}"/>
    <hyperlink ref="P14" r:id="rId8" display="http://www.konkoly.hu/cgi-bin/IBVS?5843" xr:uid="{00000000-0004-0000-0100-000007000000}"/>
    <hyperlink ref="P15" r:id="rId9" display="http://www.konkoly.hu/cgi-bin/IBVS?5843" xr:uid="{00000000-0004-0000-0100-000008000000}"/>
    <hyperlink ref="P16" r:id="rId10" display="http://www.konkoly.hu/cgi-bin/IBVS?5843" xr:uid="{00000000-0004-0000-0100-000009000000}"/>
    <hyperlink ref="P17" r:id="rId11" display="http://www.konkoly.hu/cgi-bin/IBVS?5843" xr:uid="{00000000-0004-0000-0100-00000A000000}"/>
    <hyperlink ref="P18" r:id="rId12" display="http://www.konkoly.hu/cgi-bin/IBVS?5843" xr:uid="{00000000-0004-0000-0100-00000B000000}"/>
    <hyperlink ref="P19" r:id="rId13" display="http://www.konkoly.hu/cgi-bin/IBVS?5843" xr:uid="{00000000-0004-0000-0100-00000C000000}"/>
    <hyperlink ref="P20" r:id="rId14" display="http://www.konkoly.hu/cgi-bin/IBVS?5843" xr:uid="{00000000-0004-0000-0100-00000D000000}"/>
    <hyperlink ref="P21" r:id="rId15" display="http://www.konkoly.hu/cgi-bin/IBVS?5843" xr:uid="{00000000-0004-0000-0100-00000E000000}"/>
    <hyperlink ref="P22" r:id="rId16" display="http://www.konkoly.hu/cgi-bin/IBVS?5843" xr:uid="{00000000-0004-0000-0100-00000F000000}"/>
    <hyperlink ref="P23" r:id="rId17" display="http://www.konkoly.hu/cgi-bin/IBVS?5843" xr:uid="{00000000-0004-0000-0100-000010000000}"/>
    <hyperlink ref="P24" r:id="rId18" display="http://www.konkoly.hu/cgi-bin/IBVS?5843" xr:uid="{00000000-0004-0000-0100-000011000000}"/>
    <hyperlink ref="P25" r:id="rId19" display="http://www.konkoly.hu/cgi-bin/IBVS?5843" xr:uid="{00000000-0004-0000-0100-000012000000}"/>
    <hyperlink ref="P26" r:id="rId20" display="http://www.konkoly.hu/cgi-bin/IBVS?5843" xr:uid="{00000000-0004-0000-0100-000013000000}"/>
    <hyperlink ref="P27" r:id="rId21" display="http://www.konkoly.hu/cgi-bin/IBVS?5843" xr:uid="{00000000-0004-0000-0100-000014000000}"/>
    <hyperlink ref="P28" r:id="rId22" display="http://www.konkoly.hu/cgi-bin/IBVS?5843" xr:uid="{00000000-0004-0000-0100-000015000000}"/>
    <hyperlink ref="P29" r:id="rId23" display="http://www.konkoly.hu/cgi-bin/IBVS?5843" xr:uid="{00000000-0004-0000-0100-000016000000}"/>
    <hyperlink ref="P30" r:id="rId24" display="http://www.konkoly.hu/cgi-bin/IBVS?5843" xr:uid="{00000000-0004-0000-0100-000017000000}"/>
    <hyperlink ref="P50" r:id="rId25" display="http://vsolj.cetus-net.org/no45.pdf" xr:uid="{00000000-0004-0000-0100-000018000000}"/>
    <hyperlink ref="P51" r:id="rId26" display="http://vsolj.cetus-net.org/no45.pdf" xr:uid="{00000000-0004-0000-0100-000019000000}"/>
    <hyperlink ref="P52" r:id="rId27" display="http://vsolj.cetus-net.org/no45.pdf" xr:uid="{00000000-0004-0000-0100-00001A000000}"/>
    <hyperlink ref="P53" r:id="rId28" display="http://vsolj.cetus-net.org/no46.pdf" xr:uid="{00000000-0004-0000-0100-00001B000000}"/>
    <hyperlink ref="P54" r:id="rId29" display="http://vsolj.cetus-net.org/vsoljno56.pdf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2024-08-03T07:28:23Z</dcterms:modified>
</cp:coreProperties>
</file>