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CA123C7-2F64-4E85-9556-BD993D78F5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F14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Q23" i="1"/>
  <c r="Q24" i="1"/>
  <c r="Q25" i="1"/>
  <c r="F11" i="1"/>
  <c r="E21" i="1"/>
  <c r="F21" i="1" s="1"/>
  <c r="G21" i="1" s="1"/>
  <c r="H21" i="1" s="1"/>
  <c r="G11" i="1"/>
  <c r="C17" i="1"/>
  <c r="Q21" i="1"/>
  <c r="C12" i="1"/>
  <c r="F15" i="1" l="1"/>
  <c r="C16" i="1"/>
  <c r="D18" i="1" s="1"/>
  <c r="C11" i="1"/>
  <c r="O22" i="1" l="1"/>
  <c r="S22" i="1" s="1"/>
  <c r="O25" i="1"/>
  <c r="S25" i="1" s="1"/>
  <c r="O23" i="1"/>
  <c r="S23" i="1" s="1"/>
  <c r="O21" i="1"/>
  <c r="S21" i="1" s="1"/>
  <c r="O24" i="1"/>
  <c r="S24" i="1" s="1"/>
  <c r="C15" i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<sst xmlns="http://schemas.openxmlformats.org/spreadsheetml/2006/main" count="65" uniqueCount="57">
  <si>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</si>
  <si>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</si>
  <si>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</si>
  <si>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</si>
  <si>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</si>
  <si>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</si>
  <si>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</si>
  <si>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</si>
  <si>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</si>
  <si>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</si>
  <si>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</si>
  <si>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</si>
  <si>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</si>
  <si>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</si>
  <si>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</si>
  <si>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</si>
  <si>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</si>
  <si>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</si>
  <si>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</si>
  <si>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</si>
  <si>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</si>
  <si>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</si>
  <si>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</si>
  <si>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</si>
  <si>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</si>
  <si>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</si>
  <si>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</si>
  <si>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</si>
  <si>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</si>
  <si>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</si>
  <si>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</si>
  <si>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</si>
  <si>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</si>
  <si>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</si>
  <si>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</si>
  <si>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</si>
  <si>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</si>
  <si>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</si>
  <si>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</si>
  <si>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G5509-1073</t>
  </si>
  <si>
    <t>G5509-1073_Crt.xls</t>
  </si>
  <si>
    <t>ESD</t>
  </si>
  <si>
    <t>Crt</t>
  </si>
  <si>
    <t>VSX</t>
  </si>
  <si>
    <t>IBVS 5992</t>
  </si>
  <si>
    <t>I</t>
  </si>
  <si>
    <t>IBVS 6029</t>
  </si>
  <si>
    <t xml:space="preserve"> esv</t>
  </si>
  <si>
    <t>BB Crt / GSC 5509-1073</t>
  </si>
  <si>
    <t>CCD</t>
  </si>
  <si>
    <t xml:space="preserve">Mag </t>
  </si>
  <si>
    <t>Next ToM-P</t>
  </si>
  <si>
    <t>Next ToM-S</t>
  </si>
  <si>
    <t>VSX 1</t>
  </si>
  <si>
    <t>VSX 2</t>
  </si>
  <si>
    <t>12.60-13.05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</si>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</sst>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right"/>
    </xf>
    <xf numFmtId="0" fontId="18" fillId="0" borderId="7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Crt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4.0669999289093539E-3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59-44C1-99E1-CC8D307BE8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7.3640000045998022E-3</c:v>
                </c:pt>
                <c:pt idx="3">
                  <c:v>3.4239999949932098E-3</c:v>
                </c:pt>
                <c:pt idx="4">
                  <c:v>1.8560000025900081E-3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59-44C1-99E1-CC8D307BE8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59-44C1-99E1-CC8D307BE8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59-44C1-99E1-CC8D307BE8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59-44C1-99E1-CC8D307BE8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59-44C1-99E1-CC8D307BE8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5.0000000000000001E-4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59-44C1-99E1-CC8D307BE8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2.5892951263750681E-3</c:v>
                </c:pt>
                <c:pt idx="1">
                  <c:v>3.0338457518363669E-3</c:v>
                </c:pt>
                <c:pt idx="2">
                  <c:v>3.621219966694675E-3</c:v>
                </c:pt>
                <c:pt idx="3">
                  <c:v>3.7257390389514333E-3</c:v>
                </c:pt>
                <c:pt idx="4">
                  <c:v>3.7409000472348312E-3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59-44C1-99E1-CC8D307BE8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-3870.5</c:v>
                </c:pt>
                <c:pt idx="1">
                  <c:v>0</c:v>
                </c:pt>
                <c:pt idx="2">
                  <c:v>5114</c:v>
                </c:pt>
                <c:pt idx="3">
                  <c:v>6024</c:v>
                </c:pt>
                <c:pt idx="4">
                  <c:v>6156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59-44C1-99E1-CC8D307BE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47016"/>
        <c:axId val="1"/>
      </c:scatterChart>
      <c:valAx>
        <c:axId val="523047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047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46B9CB-57E6-7424-8F57-280F0ACB6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5703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  <c r="E1" t="s">
        <v>40</v>
      </c>
    </row>
    <row r="2" spans="1:7" x14ac:dyDescent="0.2">
      <c r="A2" t="s">
        <v>23</v>
      </c>
      <c r="B2" t="s">
        <v>41</v>
      </c>
      <c r="C2" s="28" t="s">
        <v>38</v>
      </c>
      <c r="D2" s="3" t="s">
        <v>42</v>
      </c>
      <c r="E2" s="29" t="s">
        <v>39</v>
      </c>
      <c r="F2" s="34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E6" s="45" t="s">
        <v>53</v>
      </c>
    </row>
    <row r="7" spans="1:7" x14ac:dyDescent="0.2">
      <c r="A7" t="s">
        <v>2</v>
      </c>
      <c r="C7" s="35">
        <v>53478.620999999999</v>
      </c>
      <c r="D7" s="27" t="s">
        <v>54</v>
      </c>
      <c r="E7" s="46">
        <v>51870.919999999925</v>
      </c>
    </row>
    <row r="8" spans="1:7" x14ac:dyDescent="0.2">
      <c r="A8" t="s">
        <v>3</v>
      </c>
      <c r="C8" s="35">
        <v>0.41537400000000002</v>
      </c>
      <c r="D8" s="27" t="s">
        <v>54</v>
      </c>
      <c r="E8" s="47">
        <v>0.415377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3.0338457518363669E-3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1.1485612335907475E-7</v>
      </c>
      <c r="D12" s="3"/>
      <c r="E12" s="39" t="s">
        <v>50</v>
      </c>
      <c r="F12" s="40" t="s">
        <v>55</v>
      </c>
    </row>
    <row r="13" spans="1:7" x14ac:dyDescent="0.2">
      <c r="A13" s="10" t="s">
        <v>18</v>
      </c>
      <c r="B13" s="10"/>
      <c r="C13" s="3" t="s">
        <v>13</v>
      </c>
      <c r="D13" s="14"/>
      <c r="E13" s="36" t="s">
        <v>34</v>
      </c>
      <c r="F13" s="44">
        <v>1</v>
      </c>
    </row>
    <row r="14" spans="1:7" x14ac:dyDescent="0.2">
      <c r="A14" s="10"/>
      <c r="B14" s="10"/>
      <c r="C14" s="10"/>
      <c r="D14" s="14"/>
      <c r="E14" s="36" t="s">
        <v>31</v>
      </c>
      <c r="F14" s="41">
        <f ca="1">NOW()+15018.5+$C$9/24</f>
        <v>60525.750469328705</v>
      </c>
    </row>
    <row r="15" spans="1:7" x14ac:dyDescent="0.2">
      <c r="A15" s="12" t="s">
        <v>17</v>
      </c>
      <c r="B15" s="10"/>
      <c r="C15" s="13">
        <f ca="1">(C7+C11)+(C8+C12)*INT(MAX(F21:F3533))</f>
        <v>56035.667084900044</v>
      </c>
      <c r="D15" s="14"/>
      <c r="E15" s="36" t="s">
        <v>35</v>
      </c>
      <c r="F15" s="41">
        <f ca="1">ROUND(2*($F$14-$C$7)/$C$8,0)/2+$F$13</f>
        <v>16966.5</v>
      </c>
    </row>
    <row r="16" spans="1:7" x14ac:dyDescent="0.2">
      <c r="A16" s="15" t="s">
        <v>4</v>
      </c>
      <c r="B16" s="10"/>
      <c r="C16" s="16">
        <f ca="1">+C8+C12</f>
        <v>0.41537411485612336</v>
      </c>
      <c r="D16" s="14"/>
      <c r="E16" s="36" t="s">
        <v>36</v>
      </c>
      <c r="F16" s="41">
        <f ca="1">ROUND(2*($F$14-$C$15)/$C$16,0)/2+$F$13</f>
        <v>10810.5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/>
      <c r="E17" s="37" t="s">
        <v>51</v>
      </c>
      <c r="F17" s="42">
        <f ca="1">+$C$15+$C$16*$F$16-15018.5-$C$9/24</f>
        <v>45507.964786885503</v>
      </c>
    </row>
    <row r="18" spans="1:19" ht="14.25" thickTop="1" thickBot="1" x14ac:dyDescent="0.25">
      <c r="A18" s="15" t="s">
        <v>5</v>
      </c>
      <c r="B18" s="10"/>
      <c r="C18" s="17">
        <f ca="1">+C15</f>
        <v>56035.667084900044</v>
      </c>
      <c r="D18" s="18">
        <f ca="1">+C16</f>
        <v>0.41537411485612336</v>
      </c>
      <c r="E18" s="38" t="s">
        <v>52</v>
      </c>
      <c r="F18" s="43">
        <f ca="1">+($C$15+$C$16*$F$16)-($C$16/2)-15018.5-$C$9/24</f>
        <v>45507.757099828072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2.6944446816765623E-3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56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s="34" t="s">
        <v>53</v>
      </c>
      <c r="C21" s="8">
        <v>51870.919999999925</v>
      </c>
      <c r="D21" s="8" t="s">
        <v>13</v>
      </c>
      <c r="E21">
        <f>+(C21-C$7)/C$8</f>
        <v>-3870.4902088240324</v>
      </c>
      <c r="F21">
        <f>ROUND(2*E21,0)/2</f>
        <v>-3870.5</v>
      </c>
      <c r="G21">
        <f>+C21-(C$7+F21*C$8)</f>
        <v>4.0669999289093539E-3</v>
      </c>
      <c r="H21">
        <f>+G21</f>
        <v>4.0669999289093539E-3</v>
      </c>
      <c r="O21">
        <f ca="1">+C$11+C$12*$F21</f>
        <v>2.5892951263750681E-3</v>
      </c>
      <c r="Q21" s="2">
        <f>+C21-15018.5</f>
        <v>36852.419999999925</v>
      </c>
      <c r="S21">
        <f ca="1">+(O21-G21)^2</f>
        <v>2.1836114834328927E-6</v>
      </c>
    </row>
    <row r="22" spans="1:19" x14ac:dyDescent="0.2">
      <c r="A22" s="34" t="s">
        <v>54</v>
      </c>
      <c r="C22" s="8">
        <v>53478.620999999999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3.0338457518363669E-3</v>
      </c>
      <c r="Q22" s="2">
        <f>+C22-15018.5</f>
        <v>38460.120999999999</v>
      </c>
      <c r="S22">
        <f ca="1">+(O22-G22)^2</f>
        <v>9.2042200459355696E-6</v>
      </c>
    </row>
    <row r="23" spans="1:19" x14ac:dyDescent="0.2">
      <c r="A23" s="30" t="s">
        <v>44</v>
      </c>
      <c r="B23" s="31" t="s">
        <v>45</v>
      </c>
      <c r="C23" s="30">
        <v>55602.851000000002</v>
      </c>
      <c r="D23" s="30">
        <v>3.0000000000000001E-3</v>
      </c>
      <c r="E23">
        <f>+(C23-C$7)/C$8</f>
        <v>5114.0177286012195</v>
      </c>
      <c r="F23">
        <f>ROUND(2*E23,0)/2</f>
        <v>5114</v>
      </c>
      <c r="G23">
        <f>+C23-(C$7+F23*C$8)</f>
        <v>7.3640000045998022E-3</v>
      </c>
      <c r="I23">
        <f>+G23</f>
        <v>7.3640000045998022E-3</v>
      </c>
      <c r="O23">
        <f ca="1">+C$11+C$12*$F23</f>
        <v>3.621219966694675E-3</v>
      </c>
      <c r="Q23" s="2">
        <f>+C23-15018.5</f>
        <v>40584.351000000002</v>
      </c>
      <c r="S23">
        <f ca="1">+(O23-G23)^2</f>
        <v>1.4008402412141106E-5</v>
      </c>
    </row>
    <row r="24" spans="1:19" x14ac:dyDescent="0.2">
      <c r="A24" s="32" t="s">
        <v>46</v>
      </c>
      <c r="B24" s="33" t="s">
        <v>45</v>
      </c>
      <c r="C24" s="32">
        <v>55980.837399999997</v>
      </c>
      <c r="D24" s="32">
        <v>5.0000000000000001E-4</v>
      </c>
      <c r="E24">
        <f>+(C24-C$7)/C$8</f>
        <v>6024.0082431736155</v>
      </c>
      <c r="F24">
        <f>ROUND(2*E24,0)/2</f>
        <v>6024</v>
      </c>
      <c r="G24">
        <f>+C24-(C$7+F24*C$8)</f>
        <v>3.4239999949932098E-3</v>
      </c>
      <c r="I24">
        <f>+G24</f>
        <v>3.4239999949932098E-3</v>
      </c>
      <c r="O24">
        <f ca="1">+C$11+C$12*$F24</f>
        <v>3.7257390389514333E-3</v>
      </c>
      <c r="Q24" s="2">
        <f>+C24-15018.5</f>
        <v>40962.337399999997</v>
      </c>
      <c r="S24">
        <f ca="1">+(O24-G24)^2</f>
        <v>9.1046450648822696E-8</v>
      </c>
    </row>
    <row r="25" spans="1:19" x14ac:dyDescent="0.2">
      <c r="A25" s="32" t="s">
        <v>46</v>
      </c>
      <c r="B25" s="33" t="s">
        <v>45</v>
      </c>
      <c r="C25" s="32">
        <v>56035.665200000003</v>
      </c>
      <c r="D25" s="32">
        <v>5.9999999999999995E-4</v>
      </c>
      <c r="E25">
        <f>+(C25-C$7)/C$8</f>
        <v>6156.0044682623466</v>
      </c>
      <c r="F25">
        <f>ROUND(2*E25,0)/2</f>
        <v>6156</v>
      </c>
      <c r="G25">
        <f>+C25-(C$7+F25*C$8)</f>
        <v>1.8560000025900081E-3</v>
      </c>
      <c r="I25">
        <f>+G25</f>
        <v>1.8560000025900081E-3</v>
      </c>
      <c r="O25">
        <f ca="1">+C$11+C$12*$F25</f>
        <v>3.7409000472348312E-3</v>
      </c>
      <c r="Q25" s="2">
        <f>+C25-15018.5</f>
        <v>41017.165200000003</v>
      </c>
      <c r="S25">
        <f ca="1">+(O25-G25)^2</f>
        <v>3.5528481783020564E-6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2024-08-03T06:00:40Z</dcterms:modified>
</cp:coreProperties>
</file>