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079E0B3-B24C-4602-8946-255443BE4B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4" i="2" l="1"/>
  <c r="F14" i="1"/>
  <c r="E30" i="1"/>
  <c r="F30" i="1" s="1"/>
  <c r="G30" i="1" s="1"/>
  <c r="J30" i="1" s="1"/>
  <c r="Q30" i="1"/>
  <c r="E30" i="2"/>
  <c r="F30" i="2" s="1"/>
  <c r="G30" i="2" s="1"/>
  <c r="K30" i="2" s="1"/>
  <c r="Q30" i="2"/>
  <c r="E29" i="2"/>
  <c r="F29" i="2" s="1"/>
  <c r="G29" i="2" s="1"/>
  <c r="K29" i="2" s="1"/>
  <c r="Q29" i="2"/>
  <c r="E29" i="1"/>
  <c r="F29" i="1" s="1"/>
  <c r="G29" i="1" s="1"/>
  <c r="J29" i="1" s="1"/>
  <c r="Q29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F27" i="2"/>
  <c r="G27" i="2"/>
  <c r="K27" i="2"/>
  <c r="F24" i="2"/>
  <c r="G24" i="2"/>
  <c r="K24" i="2"/>
  <c r="E26" i="2"/>
  <c r="F26" i="2"/>
  <c r="G26" i="2"/>
  <c r="K26" i="2"/>
  <c r="E27" i="2"/>
  <c r="E28" i="2"/>
  <c r="F28" i="2"/>
  <c r="G28" i="2"/>
  <c r="K28" i="2"/>
  <c r="D9" i="2"/>
  <c r="C9" i="2"/>
  <c r="Q26" i="2"/>
  <c r="Q27" i="2"/>
  <c r="Q28" i="2"/>
  <c r="E22" i="2"/>
  <c r="F22" i="2"/>
  <c r="G22" i="2"/>
  <c r="K22" i="2"/>
  <c r="E23" i="2"/>
  <c r="F23" i="2"/>
  <c r="G23" i="2"/>
  <c r="K23" i="2"/>
  <c r="E24" i="2"/>
  <c r="E25" i="2"/>
  <c r="F25" i="2"/>
  <c r="G25" i="2"/>
  <c r="K25" i="2"/>
  <c r="C17" i="2"/>
  <c r="Q21" i="2"/>
  <c r="Q22" i="2"/>
  <c r="Q23" i="2"/>
  <c r="Q24" i="2"/>
  <c r="Q25" i="2"/>
  <c r="E22" i="1"/>
  <c r="F22" i="1" s="1"/>
  <c r="G22" i="1" s="1"/>
  <c r="J22" i="1" s="1"/>
  <c r="E23" i="1"/>
  <c r="F23" i="1"/>
  <c r="G23" i="1" s="1"/>
  <c r="J23" i="1" s="1"/>
  <c r="E24" i="1"/>
  <c r="F24" i="1" s="1"/>
  <c r="G24" i="1" s="1"/>
  <c r="J24" i="1" s="1"/>
  <c r="E25" i="1"/>
  <c r="F25" i="1"/>
  <c r="G25" i="1" s="1"/>
  <c r="J25" i="1" s="1"/>
  <c r="F11" i="1"/>
  <c r="Q22" i="1"/>
  <c r="Q23" i="1"/>
  <c r="Q24" i="1"/>
  <c r="Q25" i="1"/>
  <c r="E21" i="1"/>
  <c r="F21" i="1" s="1"/>
  <c r="G21" i="1" s="1"/>
  <c r="H21" i="1" s="1"/>
  <c r="H20" i="1"/>
  <c r="G11" i="1"/>
  <c r="C17" i="1"/>
  <c r="Q21" i="1"/>
  <c r="E21" i="2"/>
  <c r="F21" i="2" s="1"/>
  <c r="G21" i="2" s="1"/>
  <c r="J21" i="2" s="1"/>
  <c r="C12" i="2"/>
  <c r="C11" i="2"/>
  <c r="C12" i="1"/>
  <c r="C11" i="1"/>
  <c r="F15" i="2" l="1"/>
  <c r="F15" i="1"/>
  <c r="O30" i="1"/>
  <c r="S30" i="1" s="1"/>
  <c r="O30" i="2"/>
  <c r="S30" i="2" s="1"/>
  <c r="O29" i="2"/>
  <c r="S29" i="2" s="1"/>
  <c r="O29" i="1"/>
  <c r="S29" i="1" s="1"/>
  <c r="C16" i="2"/>
  <c r="D18" i="2" s="1"/>
  <c r="C16" i="1"/>
  <c r="D18" i="1" s="1"/>
  <c r="O26" i="2"/>
  <c r="S26" i="2" s="1"/>
  <c r="O25" i="2"/>
  <c r="S25" i="2" s="1"/>
  <c r="O23" i="2"/>
  <c r="S23" i="2" s="1"/>
  <c r="C15" i="2"/>
  <c r="O28" i="2"/>
  <c r="S28" i="2" s="1"/>
  <c r="O27" i="2"/>
  <c r="S27" i="2" s="1"/>
  <c r="O21" i="2"/>
  <c r="S21" i="2" s="1"/>
  <c r="O24" i="2"/>
  <c r="S24" i="2" s="1"/>
  <c r="O22" i="2"/>
  <c r="S22" i="2" s="1"/>
  <c r="O28" i="1"/>
  <c r="S28" i="1" s="1"/>
  <c r="C15" i="1"/>
  <c r="O27" i="1"/>
  <c r="S27" i="1" s="1"/>
  <c r="O22" i="1"/>
  <c r="S22" i="1" s="1"/>
  <c r="O23" i="1"/>
  <c r="S23" i="1" s="1"/>
  <c r="O21" i="1"/>
  <c r="S21" i="1" s="1"/>
  <c r="O25" i="1"/>
  <c r="S25" i="1" s="1"/>
  <c r="O26" i="1"/>
  <c r="S26" i="1" s="1"/>
  <c r="O24" i="1"/>
  <c r="S24" i="1" s="1"/>
  <c r="F16" i="2" l="1"/>
  <c r="F17" i="2" s="1"/>
  <c r="F16" i="1"/>
  <c r="F18" i="1" s="1"/>
  <c r="C18" i="2"/>
  <c r="C18" i="1"/>
  <c r="S19" i="1"/>
  <c r="S19" i="2"/>
  <c r="F18" i="2" l="1"/>
  <c r="F17" i="1"/>
</calcChain>
</file>

<file path=xl/sharedStrings.xml><?xml version="1.0" encoding="utf-8"?>
<sst xmlns="http://schemas.openxmlformats.org/spreadsheetml/2006/main" count="156" uniqueCount="70">
  <si>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</si>
  <si>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</si>
  <si>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</si>
  <si>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</si>
  <si>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</si>
  <si>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</si>
  <si>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</si>
  <si>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</si>
  <si>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</si>
  <si>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</si>
  <si>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</si>
  <si>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</si>
  <si>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</si>
  <si>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</si>
  <si>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</si>
  <si>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</si>
  <si>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</si>
  <si>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</si>
  <si>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</si>
  <si>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</si>
  <si>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</si>
  <si>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</si>
  <si>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</si>
  <si>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</si>
  <si>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</si>
  <si>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</si>
  <si>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</si>
  <si>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</si>
  <si>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</si>
  <si>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</si>
  <si>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</si>
  <si>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</si>
  <si>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</si>
  <si>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</si>
  <si>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</si>
  <si>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</si>
  <si>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</si>
  <si>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</si>
  <si>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</si>
  <si>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G5509-0447</t>
  </si>
  <si>
    <t>G5509-0447_Crt.xls</t>
  </si>
  <si>
    <t>EAEB</t>
  </si>
  <si>
    <t>Crt</t>
  </si>
  <si>
    <t>VSX</t>
  </si>
  <si>
    <t>IBVS 5992</t>
  </si>
  <si>
    <t>I</t>
  </si>
  <si>
    <t>IBVS 6029</t>
  </si>
  <si>
    <t>ToMcat</t>
  </si>
  <si>
    <t>This is a better period</t>
  </si>
  <si>
    <t>BD Crt / GSC 5509-0447</t>
  </si>
  <si>
    <t>VSB 069</t>
  </si>
  <si>
    <t>Ic</t>
  </si>
  <si>
    <t>V</t>
  </si>
  <si>
    <t>B</t>
  </si>
  <si>
    <t>pg</t>
  </si>
  <si>
    <t>vis</t>
  </si>
  <si>
    <t>PE</t>
  </si>
  <si>
    <t>CCD</t>
  </si>
  <si>
    <t>My local time &gt;&gt;&gt;&gt;&gt;&gt;&gt;&gt;</t>
  </si>
  <si>
    <t>JBAV, 63</t>
  </si>
  <si>
    <t>II</t>
  </si>
  <si>
    <t>VSB, 108</t>
  </si>
  <si>
    <t>S2</t>
  </si>
  <si>
    <t xml:space="preserve">Mag </t>
  </si>
  <si>
    <t>Next ToM-P</t>
  </si>
  <si>
    <t>Next ToM-S</t>
  </si>
  <si>
    <t>11.10-11.70</t>
  </si>
  <si>
    <t>VSX 1</t>
  </si>
  <si>
    <t>VSX 2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</si>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</sst>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8" fillId="0" borderId="1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0" fillId="3" borderId="0" xfId="0" applyFill="1" applyAlignment="1"/>
    <xf numFmtId="0" fontId="0" fillId="4" borderId="0" xfId="0" applyFill="1" applyAlignment="1"/>
    <xf numFmtId="0" fontId="6" fillId="0" borderId="0" xfId="0" applyFont="1" applyAlignment="1"/>
    <xf numFmtId="0" fontId="19" fillId="0" borderId="0" xfId="0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165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5" fontId="20" fillId="0" borderId="0" xfId="0" applyNumberFormat="1" applyFont="1" applyAlignment="1" applyProtection="1">
      <alignment horizontal="left" vertical="center" wrapText="1"/>
      <protection locked="0"/>
    </xf>
    <xf numFmtId="0" fontId="21" fillId="0" borderId="7" xfId="0" applyFont="1" applyBorder="1" applyAlignment="1">
      <alignment horizontal="right" vertical="center"/>
    </xf>
    <xf numFmtId="22" fontId="21" fillId="0" borderId="7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6" fillId="5" borderId="5" xfId="0" applyFont="1" applyFill="1" applyBorder="1" applyAlignment="1">
      <alignment horizontal="right" vertical="center"/>
    </xf>
    <xf numFmtId="0" fontId="6" fillId="5" borderId="6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right" vertical="center"/>
    </xf>
    <xf numFmtId="22" fontId="22" fillId="0" borderId="8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</a:t>
            </a:r>
            <a:r>
              <a:rPr lang="en-AU" baseline="0"/>
              <a:t> Crt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28990</c:v>
                </c:pt>
                <c:pt idx="2">
                  <c:v>29106.5</c:v>
                </c:pt>
                <c:pt idx="3">
                  <c:v>29701</c:v>
                </c:pt>
                <c:pt idx="4">
                  <c:v>29816</c:v>
                </c:pt>
                <c:pt idx="5">
                  <c:v>35161</c:v>
                </c:pt>
                <c:pt idx="6">
                  <c:v>35161</c:v>
                </c:pt>
                <c:pt idx="7">
                  <c:v>35161</c:v>
                </c:pt>
                <c:pt idx="8">
                  <c:v>36695</c:v>
                </c:pt>
                <c:pt idx="9">
                  <c:v>36696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FB-4072-96BF-E9FC4561084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28990</c:v>
                </c:pt>
                <c:pt idx="2">
                  <c:v>29106.5</c:v>
                </c:pt>
                <c:pt idx="3">
                  <c:v>29701</c:v>
                </c:pt>
                <c:pt idx="4">
                  <c:v>29816</c:v>
                </c:pt>
                <c:pt idx="5">
                  <c:v>35161</c:v>
                </c:pt>
                <c:pt idx="6">
                  <c:v>35161</c:v>
                </c:pt>
                <c:pt idx="7">
                  <c:v>35161</c:v>
                </c:pt>
                <c:pt idx="8">
                  <c:v>36695</c:v>
                </c:pt>
                <c:pt idx="9">
                  <c:v>36696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FB-4072-96BF-E9FC4561084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28990</c:v>
                </c:pt>
                <c:pt idx="2">
                  <c:v>29106.5</c:v>
                </c:pt>
                <c:pt idx="3">
                  <c:v>29701</c:v>
                </c:pt>
                <c:pt idx="4">
                  <c:v>29816</c:v>
                </c:pt>
                <c:pt idx="5">
                  <c:v>35161</c:v>
                </c:pt>
                <c:pt idx="6">
                  <c:v>35161</c:v>
                </c:pt>
                <c:pt idx="7">
                  <c:v>35161</c:v>
                </c:pt>
                <c:pt idx="8">
                  <c:v>36695</c:v>
                </c:pt>
                <c:pt idx="9">
                  <c:v>36696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-5.3139999887207523E-2</c:v>
                </c:pt>
                <c:pt idx="2">
                  <c:v>-7.3468999893520959E-2</c:v>
                </c:pt>
                <c:pt idx="3">
                  <c:v>-5.8025999896926805E-2</c:v>
                </c:pt>
                <c:pt idx="4">
                  <c:v>-5.4115999890200328E-2</c:v>
                </c:pt>
                <c:pt idx="5">
                  <c:v>-5.4585999896517023E-2</c:v>
                </c:pt>
                <c:pt idx="6">
                  <c:v>-5.3985999897122383E-2</c:v>
                </c:pt>
                <c:pt idx="7">
                  <c:v>-5.258599989610957E-2</c:v>
                </c:pt>
                <c:pt idx="8">
                  <c:v>-4.7569999893312342E-2</c:v>
                </c:pt>
                <c:pt idx="9">
                  <c:v>-4.2395999866130296E-2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FB-4072-96BF-E9FC4561084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28990</c:v>
                </c:pt>
                <c:pt idx="2">
                  <c:v>29106.5</c:v>
                </c:pt>
                <c:pt idx="3">
                  <c:v>29701</c:v>
                </c:pt>
                <c:pt idx="4">
                  <c:v>29816</c:v>
                </c:pt>
                <c:pt idx="5">
                  <c:v>35161</c:v>
                </c:pt>
                <c:pt idx="6">
                  <c:v>35161</c:v>
                </c:pt>
                <c:pt idx="7">
                  <c:v>35161</c:v>
                </c:pt>
                <c:pt idx="8">
                  <c:v>36695</c:v>
                </c:pt>
                <c:pt idx="9">
                  <c:v>36696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FB-4072-96BF-E9FC4561084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28990</c:v>
                </c:pt>
                <c:pt idx="2">
                  <c:v>29106.5</c:v>
                </c:pt>
                <c:pt idx="3">
                  <c:v>29701</c:v>
                </c:pt>
                <c:pt idx="4">
                  <c:v>29816</c:v>
                </c:pt>
                <c:pt idx="5">
                  <c:v>35161</c:v>
                </c:pt>
                <c:pt idx="6">
                  <c:v>35161</c:v>
                </c:pt>
                <c:pt idx="7">
                  <c:v>35161</c:v>
                </c:pt>
                <c:pt idx="8">
                  <c:v>36695</c:v>
                </c:pt>
                <c:pt idx="9">
                  <c:v>36696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FB-4072-96BF-E9FC4561084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28990</c:v>
                </c:pt>
                <c:pt idx="2">
                  <c:v>29106.5</c:v>
                </c:pt>
                <c:pt idx="3">
                  <c:v>29701</c:v>
                </c:pt>
                <c:pt idx="4">
                  <c:v>29816</c:v>
                </c:pt>
                <c:pt idx="5">
                  <c:v>35161</c:v>
                </c:pt>
                <c:pt idx="6">
                  <c:v>35161</c:v>
                </c:pt>
                <c:pt idx="7">
                  <c:v>35161</c:v>
                </c:pt>
                <c:pt idx="8">
                  <c:v>36695</c:v>
                </c:pt>
                <c:pt idx="9">
                  <c:v>36696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FB-4072-96BF-E9FC4561084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28990</c:v>
                </c:pt>
                <c:pt idx="2">
                  <c:v>29106.5</c:v>
                </c:pt>
                <c:pt idx="3">
                  <c:v>29701</c:v>
                </c:pt>
                <c:pt idx="4">
                  <c:v>29816</c:v>
                </c:pt>
                <c:pt idx="5">
                  <c:v>35161</c:v>
                </c:pt>
                <c:pt idx="6">
                  <c:v>35161</c:v>
                </c:pt>
                <c:pt idx="7">
                  <c:v>35161</c:v>
                </c:pt>
                <c:pt idx="8">
                  <c:v>36695</c:v>
                </c:pt>
                <c:pt idx="9">
                  <c:v>36696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FB-4072-96BF-E9FC4561084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28990</c:v>
                </c:pt>
                <c:pt idx="2">
                  <c:v>29106.5</c:v>
                </c:pt>
                <c:pt idx="3">
                  <c:v>29701</c:v>
                </c:pt>
                <c:pt idx="4">
                  <c:v>29816</c:v>
                </c:pt>
                <c:pt idx="5">
                  <c:v>35161</c:v>
                </c:pt>
                <c:pt idx="6">
                  <c:v>35161</c:v>
                </c:pt>
                <c:pt idx="7">
                  <c:v>35161</c:v>
                </c:pt>
                <c:pt idx="8">
                  <c:v>36695</c:v>
                </c:pt>
                <c:pt idx="9">
                  <c:v>36696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-8.5551527040714434E-3</c:v>
                </c:pt>
                <c:pt idx="1">
                  <c:v>-4.808915482083484E-2</c:v>
                </c:pt>
                <c:pt idx="2">
                  <c:v>-4.8248027233618658E-2</c:v>
                </c:pt>
                <c:pt idx="3">
                  <c:v>-4.9058753837910342E-2</c:v>
                </c:pt>
                <c:pt idx="4">
                  <c:v>-4.9215580683147589E-2</c:v>
                </c:pt>
                <c:pt idx="5">
                  <c:v>-5.650461970743529E-2</c:v>
                </c:pt>
                <c:pt idx="6">
                  <c:v>-5.650461970743529E-2</c:v>
                </c:pt>
                <c:pt idx="7">
                  <c:v>-5.650461970743529E-2</c:v>
                </c:pt>
                <c:pt idx="8">
                  <c:v>-5.8596553451730392E-2</c:v>
                </c:pt>
                <c:pt idx="9">
                  <c:v>-5.8597917163428104E-2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FB-4072-96BF-E9FC4561084A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28990</c:v>
                </c:pt>
                <c:pt idx="2">
                  <c:v>29106.5</c:v>
                </c:pt>
                <c:pt idx="3">
                  <c:v>29701</c:v>
                </c:pt>
                <c:pt idx="4">
                  <c:v>29816</c:v>
                </c:pt>
                <c:pt idx="5">
                  <c:v>35161</c:v>
                </c:pt>
                <c:pt idx="6">
                  <c:v>35161</c:v>
                </c:pt>
                <c:pt idx="7">
                  <c:v>35161</c:v>
                </c:pt>
                <c:pt idx="8">
                  <c:v>36695</c:v>
                </c:pt>
                <c:pt idx="9">
                  <c:v>36696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FB-4072-96BF-E9FC45610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791784"/>
        <c:axId val="1"/>
      </c:scatterChart>
      <c:valAx>
        <c:axId val="534791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791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Crt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14-4047-BD1D-172193CFBEE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14-4047-BD1D-172193CFBEE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14-4047-BD1D-172193CFBEE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1">
                  <c:v>0.18034000010811724</c:v>
                </c:pt>
                <c:pt idx="2">
                  <c:v>0.1786500001035165</c:v>
                </c:pt>
                <c:pt idx="3">
                  <c:v>0.18242000010650372</c:v>
                </c:pt>
                <c:pt idx="4">
                  <c:v>0.17968000011023832</c:v>
                </c:pt>
                <c:pt idx="5">
                  <c:v>0.2374100001034094</c:v>
                </c:pt>
                <c:pt idx="6">
                  <c:v>0.23801000010280404</c:v>
                </c:pt>
                <c:pt idx="7">
                  <c:v>0.23941000010381686</c:v>
                </c:pt>
                <c:pt idx="8">
                  <c:v>0.35472000010486227</c:v>
                </c:pt>
                <c:pt idx="9">
                  <c:v>0.27436000013403827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14-4047-BD1D-172193CFBEE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14-4047-BD1D-172193CFBEE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14-4047-BD1D-172193CFBEE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14-4047-BD1D-172193CFBEE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-0.26156740852321325</c:v>
                </c:pt>
                <c:pt idx="1">
                  <c:v>0.17052513857282031</c:v>
                </c:pt>
                <c:pt idx="2">
                  <c:v>0.17226105849773576</c:v>
                </c:pt>
                <c:pt idx="3">
                  <c:v>0.1811224751718053</c:v>
                </c:pt>
                <c:pt idx="4">
                  <c:v>0.18283675020987644</c:v>
                </c:pt>
                <c:pt idx="5">
                  <c:v>0.26250292072912529</c:v>
                </c:pt>
                <c:pt idx="6">
                  <c:v>0.26250292072912529</c:v>
                </c:pt>
                <c:pt idx="7">
                  <c:v>0.26250292072912529</c:v>
                </c:pt>
                <c:pt idx="8">
                  <c:v>0.28536425021410883</c:v>
                </c:pt>
                <c:pt idx="9">
                  <c:v>0.28538156612358434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14-4047-BD1D-172193CFBEEF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49907</c:v>
                </c:pt>
                <c:pt idx="2">
                  <c:v>50107.5</c:v>
                </c:pt>
                <c:pt idx="3">
                  <c:v>51131</c:v>
                </c:pt>
                <c:pt idx="4">
                  <c:v>51329</c:v>
                </c:pt>
                <c:pt idx="5">
                  <c:v>60530.5</c:v>
                </c:pt>
                <c:pt idx="6">
                  <c:v>60530.5</c:v>
                </c:pt>
                <c:pt idx="7">
                  <c:v>60530.5</c:v>
                </c:pt>
                <c:pt idx="8">
                  <c:v>63171</c:v>
                </c:pt>
                <c:pt idx="9">
                  <c:v>63173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14-4047-BD1D-172193CFB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804576"/>
        <c:axId val="1"/>
      </c:scatterChart>
      <c:valAx>
        <c:axId val="53480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804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</xdr:rowOff>
    </xdr:from>
    <xdr:to>
      <xdr:col>18</xdr:col>
      <xdr:colOff>276225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0A71A5-DFA5-0D44-AC84-D489DD840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A8F6401F-6E2D-FD12-153E-AA75CAB72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6.85546875" customWidth="1"/>
    <col min="3" max="3" width="11.85546875" customWidth="1"/>
    <col min="4" max="4" width="9.42578125" customWidth="1"/>
    <col min="5" max="5" width="12.425781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40</v>
      </c>
    </row>
    <row r="2" spans="1:7" x14ac:dyDescent="0.2">
      <c r="A2" t="s">
        <v>23</v>
      </c>
      <c r="B2" s="44" t="s">
        <v>69</v>
      </c>
      <c r="C2" s="29" t="s">
        <v>38</v>
      </c>
      <c r="D2" s="3" t="s">
        <v>42</v>
      </c>
      <c r="E2" s="30" t="s">
        <v>39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6" t="s">
        <v>37</v>
      </c>
      <c r="D4" s="27" t="s">
        <v>37</v>
      </c>
    </row>
    <row r="5" spans="1:7" x14ac:dyDescent="0.2">
      <c r="A5" s="44" t="s">
        <v>58</v>
      </c>
      <c r="C5" s="45">
        <v>-9.5</v>
      </c>
    </row>
    <row r="6" spans="1:7" x14ac:dyDescent="0.2">
      <c r="A6" s="5" t="s">
        <v>1</v>
      </c>
      <c r="E6" s="63" t="s">
        <v>67</v>
      </c>
    </row>
    <row r="7" spans="1:7" x14ac:dyDescent="0.2">
      <c r="A7" t="s">
        <v>2</v>
      </c>
      <c r="C7" s="50">
        <v>40274.246499999892</v>
      </c>
      <c r="D7" s="28" t="s">
        <v>43</v>
      </c>
      <c r="E7" s="64">
        <v>40274.246499999892</v>
      </c>
    </row>
    <row r="8" spans="1:7" x14ac:dyDescent="0.2">
      <c r="A8" t="s">
        <v>3</v>
      </c>
      <c r="C8" s="50">
        <v>0.52882600000000002</v>
      </c>
      <c r="D8" s="28" t="s">
        <v>68</v>
      </c>
      <c r="E8" s="65">
        <v>0.26356299999999999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0">
        <f ca="1">INTERCEPT(INDIRECT($G$11):G992,INDIRECT($F$11):F992)</f>
        <v>-8.5551527040714434E-3</v>
      </c>
      <c r="D11" s="3"/>
      <c r="E11" s="10"/>
      <c r="F11" s="21" t="str">
        <f>"F"&amp;E19</f>
        <v>F21</v>
      </c>
      <c r="G11" s="22" t="str">
        <f>"G"&amp;E19</f>
        <v>G21</v>
      </c>
    </row>
    <row r="12" spans="1:7" x14ac:dyDescent="0.2">
      <c r="A12" s="10" t="s">
        <v>16</v>
      </c>
      <c r="B12" s="10"/>
      <c r="C12" s="20">
        <f ca="1">SLOPE(INDIRECT($G$11):G992,INDIRECT($F$11):F992)</f>
        <v>-1.3637116977151914E-6</v>
      </c>
      <c r="D12" s="3"/>
      <c r="E12" s="57" t="s">
        <v>63</v>
      </c>
      <c r="F12" s="58" t="s">
        <v>66</v>
      </c>
    </row>
    <row r="13" spans="1:7" x14ac:dyDescent="0.2">
      <c r="A13" s="10" t="s">
        <v>18</v>
      </c>
      <c r="B13" s="10"/>
      <c r="C13" s="3" t="s">
        <v>13</v>
      </c>
      <c r="D13" s="14"/>
      <c r="E13" s="54" t="s">
        <v>34</v>
      </c>
      <c r="F13" s="62">
        <v>1</v>
      </c>
    </row>
    <row r="14" spans="1:7" x14ac:dyDescent="0.2">
      <c r="A14" s="10"/>
      <c r="B14" s="10"/>
      <c r="C14" s="10"/>
      <c r="D14" s="14"/>
      <c r="E14" s="54" t="s">
        <v>31</v>
      </c>
      <c r="F14" s="59">
        <f ca="1">NOW()+15018.5+$C$9/24</f>
        <v>60525.760952430552</v>
      </c>
    </row>
    <row r="15" spans="1:7" x14ac:dyDescent="0.2">
      <c r="A15" s="12" t="s">
        <v>17</v>
      </c>
      <c r="B15" s="10"/>
      <c r="C15" s="13">
        <f ca="1">(C7+C11)+(C8+C12)*INT(MAX(F21:F3533))</f>
        <v>59679.986798082733</v>
      </c>
      <c r="D15" s="14"/>
      <c r="E15" s="54" t="s">
        <v>35</v>
      </c>
      <c r="F15" s="59">
        <f ca="1">ROUND(2*($F$14-$C$7)/$C$8,0)/2+$F$13</f>
        <v>38296</v>
      </c>
    </row>
    <row r="16" spans="1:7" x14ac:dyDescent="0.2">
      <c r="A16" s="15" t="s">
        <v>4</v>
      </c>
      <c r="B16" s="10"/>
      <c r="C16" s="16">
        <f ca="1">+C8+C12</f>
        <v>0.52882463628830234</v>
      </c>
      <c r="D16" s="14"/>
      <c r="E16" s="54" t="s">
        <v>36</v>
      </c>
      <c r="F16" s="59">
        <f ca="1">ROUND(2*($F$14-$C$15)/$C$16,0)/2+$F$13</f>
        <v>1600.5</v>
      </c>
    </row>
    <row r="17" spans="1:19" ht="13.5" thickBot="1" x14ac:dyDescent="0.25">
      <c r="A17" s="14" t="s">
        <v>28</v>
      </c>
      <c r="B17" s="10"/>
      <c r="C17" s="10">
        <f>COUNT(C21:C2191)</f>
        <v>10</v>
      </c>
      <c r="D17" s="14"/>
      <c r="E17" s="55" t="s">
        <v>64</v>
      </c>
      <c r="F17" s="60">
        <f ca="1">+$C$15+$C$16*$F$16-15018.5-$C$9/24</f>
        <v>45508.266461795494</v>
      </c>
    </row>
    <row r="18" spans="1:19" ht="14.25" thickTop="1" thickBot="1" x14ac:dyDescent="0.25">
      <c r="A18" s="15" t="s">
        <v>5</v>
      </c>
      <c r="B18" s="10"/>
      <c r="C18" s="18">
        <f ca="1">+C15</f>
        <v>59679.986798082733</v>
      </c>
      <c r="D18" s="19">
        <f ca="1">+C16</f>
        <v>0.52882463628830234</v>
      </c>
      <c r="E18" s="56" t="s">
        <v>65</v>
      </c>
      <c r="F18" s="61">
        <f ca="1">+($C$15+$C$16*$F$16)-($C$16/2)-15018.5-$C$9/24</f>
        <v>45508.002049477349</v>
      </c>
    </row>
    <row r="19" spans="1:19" ht="13.5" thickTop="1" x14ac:dyDescent="0.2">
      <c r="A19" s="23" t="s">
        <v>32</v>
      </c>
      <c r="E19" s="24">
        <v>21</v>
      </c>
      <c r="S19">
        <f ca="1">SQRT(SUM(S21:S50)/(COUNT(S21:S50)-1))</f>
        <v>1.1778944879706247E-2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62</v>
      </c>
      <c r="J20" s="7" t="s">
        <v>57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33</v>
      </c>
    </row>
    <row r="21" spans="1:19" x14ac:dyDescent="0.2">
      <c r="A21" t="s">
        <v>43</v>
      </c>
      <c r="C21" s="8">
        <v>40274.246499999892</v>
      </c>
      <c r="D21" s="8" t="s">
        <v>13</v>
      </c>
      <c r="E21">
        <f t="shared" ref="E21:E28" si="0">+(C21-C$7)/C$8</f>
        <v>0</v>
      </c>
      <c r="F21">
        <f t="shared" ref="F21:F29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-8.5551527040714434E-3</v>
      </c>
      <c r="Q21" s="2">
        <f t="shared" ref="Q21:Q28" si="4">+C21-15018.5</f>
        <v>25255.746499999892</v>
      </c>
      <c r="S21">
        <f t="shared" ref="S21:S28" ca="1" si="5">+(O21-G21)^2</f>
        <v>7.3190637789980926E-5</v>
      </c>
    </row>
    <row r="22" spans="1:19" x14ac:dyDescent="0.2">
      <c r="A22" s="31" t="s">
        <v>44</v>
      </c>
      <c r="B22" s="32" t="s">
        <v>45</v>
      </c>
      <c r="C22" s="31">
        <v>55604.859100000001</v>
      </c>
      <c r="D22" s="31">
        <v>4.0000000000000002E-4</v>
      </c>
      <c r="E22">
        <f t="shared" si="0"/>
        <v>28989.899513261658</v>
      </c>
      <c r="F22">
        <f t="shared" si="1"/>
        <v>28990</v>
      </c>
      <c r="G22">
        <f t="shared" si="2"/>
        <v>-5.3139999887207523E-2</v>
      </c>
      <c r="J22">
        <f t="shared" ref="J22:J30" si="6">+G22</f>
        <v>-5.3139999887207523E-2</v>
      </c>
      <c r="O22">
        <f t="shared" ca="1" si="3"/>
        <v>-4.808915482083484E-2</v>
      </c>
      <c r="Q22" s="2">
        <f t="shared" si="4"/>
        <v>40586.359100000001</v>
      </c>
      <c r="S22">
        <f t="shared" ca="1" si="5"/>
        <v>2.5511035884501276E-5</v>
      </c>
    </row>
    <row r="23" spans="1:19" x14ac:dyDescent="0.2">
      <c r="A23" s="31" t="s">
        <v>44</v>
      </c>
      <c r="B23" s="32" t="s">
        <v>45</v>
      </c>
      <c r="C23" s="31">
        <v>55666.447</v>
      </c>
      <c r="D23" s="31">
        <v>5.9999999999999995E-4</v>
      </c>
      <c r="E23">
        <f t="shared" si="0"/>
        <v>29106.361071505766</v>
      </c>
      <c r="F23">
        <f t="shared" si="1"/>
        <v>29106.5</v>
      </c>
      <c r="G23">
        <f t="shared" si="2"/>
        <v>-7.3468999893520959E-2</v>
      </c>
      <c r="J23">
        <f t="shared" si="6"/>
        <v>-7.3468999893520959E-2</v>
      </c>
      <c r="O23">
        <f t="shared" ca="1" si="3"/>
        <v>-4.8248027233618658E-2</v>
      </c>
      <c r="Q23" s="2">
        <f t="shared" si="4"/>
        <v>40647.947</v>
      </c>
      <c r="S23">
        <f t="shared" ca="1" si="5"/>
        <v>6.3609746191153936E-4</v>
      </c>
    </row>
    <row r="24" spans="1:19" x14ac:dyDescent="0.2">
      <c r="A24" s="33" t="s">
        <v>46</v>
      </c>
      <c r="B24" s="34" t="s">
        <v>45</v>
      </c>
      <c r="C24" s="33">
        <v>55980.849499999997</v>
      </c>
      <c r="D24" s="33">
        <v>2.9999999999999997E-4</v>
      </c>
      <c r="E24">
        <f t="shared" si="0"/>
        <v>29700.890273927726</v>
      </c>
      <c r="F24">
        <f t="shared" si="1"/>
        <v>29701</v>
      </c>
      <c r="G24">
        <f t="shared" si="2"/>
        <v>-5.8025999896926805E-2</v>
      </c>
      <c r="J24">
        <f t="shared" si="6"/>
        <v>-5.8025999896926805E-2</v>
      </c>
      <c r="O24">
        <f t="shared" ca="1" si="3"/>
        <v>-4.9058753837910342E-2</v>
      </c>
      <c r="Q24" s="2">
        <f t="shared" si="4"/>
        <v>40962.349499999997</v>
      </c>
      <c r="S24">
        <f t="shared" ca="1" si="5"/>
        <v>8.0411501882946294E-5</v>
      </c>
    </row>
    <row r="25" spans="1:19" x14ac:dyDescent="0.2">
      <c r="A25" s="33" t="s">
        <v>46</v>
      </c>
      <c r="B25" s="34" t="s">
        <v>45</v>
      </c>
      <c r="C25" s="33">
        <v>56041.668400000002</v>
      </c>
      <c r="D25" s="33">
        <v>6.9999999999999999E-4</v>
      </c>
      <c r="E25">
        <f t="shared" si="0"/>
        <v>29815.897667664052</v>
      </c>
      <c r="F25">
        <f t="shared" si="1"/>
        <v>29816</v>
      </c>
      <c r="G25">
        <f t="shared" si="2"/>
        <v>-5.4115999890200328E-2</v>
      </c>
      <c r="J25">
        <f t="shared" si="6"/>
        <v>-5.4115999890200328E-2</v>
      </c>
      <c r="O25">
        <f t="shared" ca="1" si="3"/>
        <v>-4.9215580683147589E-2</v>
      </c>
      <c r="Q25" s="2">
        <f t="shared" si="4"/>
        <v>41023.168400000002</v>
      </c>
      <c r="S25">
        <f t="shared" ca="1" si="5"/>
        <v>2.4014108404851397E-5</v>
      </c>
    </row>
    <row r="26" spans="1:19" x14ac:dyDescent="0.2">
      <c r="A26" s="39" t="s">
        <v>50</v>
      </c>
      <c r="B26" s="40" t="s">
        <v>45</v>
      </c>
      <c r="C26" s="41">
        <v>58868.242899999997</v>
      </c>
      <c r="D26" s="41" t="s">
        <v>51</v>
      </c>
      <c r="E26">
        <f t="shared" si="0"/>
        <v>35160.896778902897</v>
      </c>
      <c r="F26">
        <f t="shared" si="1"/>
        <v>35161</v>
      </c>
      <c r="G26">
        <f t="shared" si="2"/>
        <v>-5.4585999896517023E-2</v>
      </c>
      <c r="J26">
        <f t="shared" si="6"/>
        <v>-5.4585999896517023E-2</v>
      </c>
      <c r="O26">
        <f t="shared" ca="1" si="3"/>
        <v>-5.650461970743529E-2</v>
      </c>
      <c r="Q26" s="2">
        <f t="shared" si="4"/>
        <v>43849.742899999997</v>
      </c>
      <c r="S26">
        <f t="shared" ca="1" si="5"/>
        <v>3.6811019788480443E-6</v>
      </c>
    </row>
    <row r="27" spans="1:19" x14ac:dyDescent="0.2">
      <c r="A27" s="39" t="s">
        <v>50</v>
      </c>
      <c r="B27" s="40" t="s">
        <v>45</v>
      </c>
      <c r="C27" s="41">
        <v>58868.243499999997</v>
      </c>
      <c r="D27" s="41" t="s">
        <v>52</v>
      </c>
      <c r="E27">
        <f t="shared" si="0"/>
        <v>35160.897913491593</v>
      </c>
      <c r="F27">
        <f t="shared" si="1"/>
        <v>35161</v>
      </c>
      <c r="G27">
        <f t="shared" si="2"/>
        <v>-5.3985999897122383E-2</v>
      </c>
      <c r="J27">
        <f t="shared" si="6"/>
        <v>-5.3985999897122383E-2</v>
      </c>
      <c r="O27">
        <f t="shared" ca="1" si="3"/>
        <v>-5.650461970743529E-2</v>
      </c>
      <c r="Q27" s="2">
        <f t="shared" si="4"/>
        <v>43849.743499999997</v>
      </c>
      <c r="S27">
        <f t="shared" ca="1" si="5"/>
        <v>6.3434457489006227E-6</v>
      </c>
    </row>
    <row r="28" spans="1:19" x14ac:dyDescent="0.2">
      <c r="A28" s="39" t="s">
        <v>50</v>
      </c>
      <c r="B28" s="40" t="s">
        <v>45</v>
      </c>
      <c r="C28" s="41">
        <v>58868.244899999998</v>
      </c>
      <c r="D28" s="41" t="s">
        <v>53</v>
      </c>
      <c r="E28">
        <f t="shared" si="0"/>
        <v>35160.900560865208</v>
      </c>
      <c r="F28">
        <f t="shared" si="1"/>
        <v>35161</v>
      </c>
      <c r="G28">
        <f t="shared" si="2"/>
        <v>-5.258599989610957E-2</v>
      </c>
      <c r="J28">
        <f t="shared" si="6"/>
        <v>-5.258599989610957E-2</v>
      </c>
      <c r="O28">
        <f t="shared" ca="1" si="3"/>
        <v>-5.650461970743529E-2</v>
      </c>
      <c r="Q28" s="2">
        <f t="shared" si="4"/>
        <v>43849.744899999998</v>
      </c>
      <c r="S28">
        <f t="shared" ca="1" si="5"/>
        <v>1.5355581225714423E-5</v>
      </c>
    </row>
    <row r="29" spans="1:19" x14ac:dyDescent="0.2">
      <c r="A29" s="46" t="s">
        <v>59</v>
      </c>
      <c r="B29" s="47" t="s">
        <v>60</v>
      </c>
      <c r="C29" s="51">
        <v>59679.468999999997</v>
      </c>
      <c r="D29" s="52">
        <v>3.0000000000000001E-3</v>
      </c>
      <c r="E29">
        <f t="shared" ref="E29" si="7">+(C29-C$7)/C$8</f>
        <v>36694.910046026678</v>
      </c>
      <c r="F29">
        <f t="shared" si="1"/>
        <v>36695</v>
      </c>
      <c r="G29">
        <f t="shared" ref="G29" si="8">+C29-(C$7+F29*C$8)</f>
        <v>-4.7569999893312342E-2</v>
      </c>
      <c r="J29">
        <f t="shared" si="6"/>
        <v>-4.7569999893312342E-2</v>
      </c>
      <c r="O29">
        <f t="shared" ref="O29" ca="1" si="9">+C$11+C$12*$F29</f>
        <v>-5.8596553451730392E-2</v>
      </c>
      <c r="Q29" s="2">
        <f t="shared" ref="Q29" si="10">+C29-15018.5</f>
        <v>44660.968999999997</v>
      </c>
      <c r="S29">
        <f t="shared" ref="S29" ca="1" si="11">+(O29-G29)^2</f>
        <v>1.2158488337666174E-4</v>
      </c>
    </row>
    <row r="30" spans="1:19" x14ac:dyDescent="0.2">
      <c r="A30" s="48" t="s">
        <v>61</v>
      </c>
      <c r="B30" s="49" t="s">
        <v>45</v>
      </c>
      <c r="C30" s="53">
        <v>59680.003000000026</v>
      </c>
      <c r="D30" s="8"/>
      <c r="E30">
        <f t="shared" ref="E30" si="12">+(C30-C$7)/C$8</f>
        <v>36695.919829963226</v>
      </c>
      <c r="F30">
        <f t="shared" ref="F30" si="13">ROUND(2*E30,0)/2</f>
        <v>36696</v>
      </c>
      <c r="G30">
        <f t="shared" ref="G30" si="14">+C30-(C$7+F30*C$8)</f>
        <v>-4.2395999866130296E-2</v>
      </c>
      <c r="J30">
        <f t="shared" si="6"/>
        <v>-4.2395999866130296E-2</v>
      </c>
      <c r="O30">
        <f t="shared" ref="O30" ca="1" si="15">+C$11+C$12*$F30</f>
        <v>-5.8597917163428104E-2</v>
      </c>
      <c r="Q30" s="2">
        <f t="shared" ref="Q30" si="16">+C30-15018.5</f>
        <v>44661.503000000026</v>
      </c>
      <c r="S30">
        <f t="shared" ref="S30" ca="1" si="17">+(O30-G30)^2</f>
        <v>2.625021241084779E-4</v>
      </c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8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7" sqref="F3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49</v>
      </c>
      <c r="E1" t="s">
        <v>40</v>
      </c>
    </row>
    <row r="2" spans="1:6" ht="12.95" customHeight="1" x14ac:dyDescent="0.2">
      <c r="A2" t="s">
        <v>23</v>
      </c>
      <c r="B2" t="s">
        <v>41</v>
      </c>
      <c r="C2" s="29" t="s">
        <v>38</v>
      </c>
      <c r="D2" s="3" t="s">
        <v>42</v>
      </c>
      <c r="E2" s="30" t="s">
        <v>39</v>
      </c>
      <c r="F2" t="e">
        <v>#N/A</v>
      </c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26" t="s">
        <v>37</v>
      </c>
      <c r="D4" s="27" t="s">
        <v>37</v>
      </c>
    </row>
    <row r="5" spans="1:6" ht="12.95" customHeight="1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6" ht="12.95" customHeight="1" x14ac:dyDescent="0.2">
      <c r="A6" s="5" t="s">
        <v>1</v>
      </c>
      <c r="C6" s="66" t="s">
        <v>48</v>
      </c>
    </row>
    <row r="7" spans="1:6" ht="12.95" customHeight="1" x14ac:dyDescent="0.2">
      <c r="A7" t="s">
        <v>2</v>
      </c>
      <c r="C7" s="50">
        <v>40274.246499999892</v>
      </c>
      <c r="D7" s="28" t="s">
        <v>43</v>
      </c>
    </row>
    <row r="8" spans="1:6" ht="12.95" customHeight="1" x14ac:dyDescent="0.2">
      <c r="A8" t="s">
        <v>3</v>
      </c>
      <c r="C8" s="50">
        <v>0.30718000000000001</v>
      </c>
      <c r="D8" s="28" t="s">
        <v>47</v>
      </c>
    </row>
    <row r="9" spans="1:6" ht="12.95" customHeight="1" x14ac:dyDescent="0.2">
      <c r="A9" s="23" t="s">
        <v>32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6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6" ht="12.95" customHeight="1" x14ac:dyDescent="0.2">
      <c r="A11" s="10" t="s">
        <v>15</v>
      </c>
      <c r="B11" s="10"/>
      <c r="C11" s="20">
        <f ca="1">INTERCEPT(INDIRECT($D$9):G992,INDIRECT($C$9):F992)</f>
        <v>-0.26156740852321325</v>
      </c>
      <c r="D11" s="3"/>
      <c r="E11" s="10"/>
    </row>
    <row r="12" spans="1:6" ht="12.95" customHeight="1" x14ac:dyDescent="0.2">
      <c r="A12" s="10" t="s">
        <v>16</v>
      </c>
      <c r="B12" s="10"/>
      <c r="C12" s="20">
        <f ca="1">SLOPE(INDIRECT($D$9):G992,INDIRECT($C$9):F992)</f>
        <v>8.6579547377328541E-6</v>
      </c>
      <c r="D12" s="3"/>
      <c r="E12" s="57" t="s">
        <v>63</v>
      </c>
      <c r="F12" s="58" t="s">
        <v>66</v>
      </c>
    </row>
    <row r="13" spans="1:6" ht="12.95" customHeight="1" x14ac:dyDescent="0.2">
      <c r="A13" s="10" t="s">
        <v>18</v>
      </c>
      <c r="B13" s="10"/>
      <c r="C13" s="3" t="s">
        <v>13</v>
      </c>
      <c r="E13" s="54" t="s">
        <v>34</v>
      </c>
      <c r="F13" s="62">
        <v>1</v>
      </c>
    </row>
    <row r="14" spans="1:6" ht="12.95" customHeight="1" x14ac:dyDescent="0.2">
      <c r="A14" s="10"/>
      <c r="B14" s="10"/>
      <c r="C14" s="10"/>
      <c r="E14" s="54" t="s">
        <v>31</v>
      </c>
      <c r="F14" s="59">
        <f ca="1">NOW()+15018.5+$C$5/24</f>
        <v>60525.760952430552</v>
      </c>
    </row>
    <row r="15" spans="1:6" ht="12.95" customHeight="1" x14ac:dyDescent="0.2">
      <c r="A15" s="12" t="s">
        <v>17</v>
      </c>
      <c r="B15" s="10"/>
      <c r="C15" s="13">
        <f ca="1">(C7+C11)+(C8+C12)*INT(MAX(F21:F3533))</f>
        <v>59680.014021566021</v>
      </c>
      <c r="E15" s="54" t="s">
        <v>35</v>
      </c>
      <c r="F15" s="59">
        <f ca="1">ROUND(2*($F$14-$C$7)/$C$8,0)/2+$F$13</f>
        <v>65928</v>
      </c>
    </row>
    <row r="16" spans="1:6" ht="12.95" customHeight="1" x14ac:dyDescent="0.2">
      <c r="A16" s="15" t="s">
        <v>4</v>
      </c>
      <c r="B16" s="10"/>
      <c r="C16" s="16">
        <f ca="1">+C8+C12</f>
        <v>0.30718865795473776</v>
      </c>
      <c r="E16" s="54" t="s">
        <v>36</v>
      </c>
      <c r="F16" s="59">
        <f ca="1">ROUND(2*($F$14-$C$15)/$C$16,0)/2+$F$13</f>
        <v>2754</v>
      </c>
    </row>
    <row r="17" spans="1:19" ht="12.95" customHeight="1" thickBot="1" x14ac:dyDescent="0.25">
      <c r="A17" s="14" t="s">
        <v>28</v>
      </c>
      <c r="B17" s="10"/>
      <c r="C17" s="10">
        <f>COUNT(C21:C2191)</f>
        <v>10</v>
      </c>
      <c r="E17" s="54" t="s">
        <v>64</v>
      </c>
      <c r="F17" s="60">
        <f ca="1">+$C$15+$C$16*$F$16-15018.5-$C$5/24</f>
        <v>45507.907418906703</v>
      </c>
    </row>
    <row r="18" spans="1:19" ht="12.95" customHeight="1" thickTop="1" thickBot="1" x14ac:dyDescent="0.25">
      <c r="A18" s="15" t="s">
        <v>5</v>
      </c>
      <c r="B18" s="10"/>
      <c r="C18" s="18">
        <f ca="1">+C15</f>
        <v>59680.014021566021</v>
      </c>
      <c r="D18" s="19">
        <f ca="1">+C16</f>
        <v>0.30718865795473776</v>
      </c>
      <c r="E18" s="56" t="s">
        <v>65</v>
      </c>
      <c r="F18" s="61">
        <f ca="1">+($C$15+$C$16*$F$16)-($C$16/2)-15018.5-$C$5/24</f>
        <v>45507.753824577725</v>
      </c>
    </row>
    <row r="19" spans="1:19" ht="12.95" customHeight="1" thickTop="1" x14ac:dyDescent="0.2">
      <c r="E19" s="14"/>
      <c r="F19" s="17"/>
      <c r="S19">
        <f ca="1">SQRT(SUM(S21:S50)/(COUNT(S21:S50)-1))</f>
        <v>9.144569954933765E-2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54</v>
      </c>
      <c r="I20" s="7" t="s">
        <v>55</v>
      </c>
      <c r="J20" s="7" t="s">
        <v>56</v>
      </c>
      <c r="K20" s="7" t="s">
        <v>57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33</v>
      </c>
    </row>
    <row r="21" spans="1:19" ht="12.95" customHeight="1" x14ac:dyDescent="0.2">
      <c r="A21" t="s">
        <v>43</v>
      </c>
      <c r="C21" s="8">
        <v>40274.246499999892</v>
      </c>
      <c r="D21" s="8" t="s">
        <v>13</v>
      </c>
      <c r="E21">
        <f t="shared" ref="E21:E28" si="0">+(C21-C$7)/C$8</f>
        <v>0</v>
      </c>
      <c r="F21">
        <f>ROUND(2*E21,0)/2</f>
        <v>0</v>
      </c>
      <c r="G21">
        <f t="shared" ref="G21:G28" si="1">+C21-(C$7+F21*C$8)</f>
        <v>0</v>
      </c>
      <c r="J21">
        <f>+G21</f>
        <v>0</v>
      </c>
      <c r="O21">
        <f t="shared" ref="O21:O28" ca="1" si="2">+C$11+C$12*$F21</f>
        <v>-0.26156740852321325</v>
      </c>
      <c r="Q21" s="2">
        <f t="shared" ref="Q21:Q28" si="3">+C21-15018.5</f>
        <v>25255.746499999892</v>
      </c>
      <c r="S21">
        <f ca="1">+(O21-G21)^2</f>
        <v>6.8417509201549528E-2</v>
      </c>
    </row>
    <row r="22" spans="1:19" ht="12.95" customHeight="1" x14ac:dyDescent="0.2">
      <c r="A22" s="35" t="s">
        <v>44</v>
      </c>
      <c r="B22" s="36" t="s">
        <v>45</v>
      </c>
      <c r="C22" s="35">
        <v>55604.859100000001</v>
      </c>
      <c r="D22" s="35">
        <v>4.0000000000000002E-4</v>
      </c>
      <c r="E22">
        <f t="shared" si="0"/>
        <v>49907.587082492704</v>
      </c>
      <c r="F22" s="43">
        <f>ROUND(2*E22,0)/2-0.5</f>
        <v>49907</v>
      </c>
      <c r="G22">
        <f t="shared" si="1"/>
        <v>0.18034000010811724</v>
      </c>
      <c r="K22">
        <f t="shared" ref="K22:K28" si="4">+G22</f>
        <v>0.18034000010811724</v>
      </c>
      <c r="O22">
        <f t="shared" ca="1" si="2"/>
        <v>0.17052513857282031</v>
      </c>
      <c r="Q22" s="2">
        <f t="shared" si="3"/>
        <v>40586.359100000001</v>
      </c>
      <c r="S22">
        <f ca="1">+(O22-G22)^2</f>
        <v>9.6331506957051137E-5</v>
      </c>
    </row>
    <row r="23" spans="1:19" ht="12.95" customHeight="1" x14ac:dyDescent="0.2">
      <c r="A23" s="35" t="s">
        <v>44</v>
      </c>
      <c r="B23" s="36" t="s">
        <v>45</v>
      </c>
      <c r="C23" s="35">
        <v>55666.447</v>
      </c>
      <c r="D23" s="35">
        <v>5.9999999999999995E-4</v>
      </c>
      <c r="E23">
        <f t="shared" si="0"/>
        <v>50108.081580832433</v>
      </c>
      <c r="F23" s="43">
        <f>ROUND(2*E23,0)/2-0.5</f>
        <v>50107.5</v>
      </c>
      <c r="G23">
        <f t="shared" si="1"/>
        <v>0.1786500001035165</v>
      </c>
      <c r="K23">
        <f t="shared" si="4"/>
        <v>0.1786500001035165</v>
      </c>
      <c r="O23">
        <f t="shared" ca="1" si="2"/>
        <v>0.17226105849773576</v>
      </c>
      <c r="Q23" s="2">
        <f t="shared" si="3"/>
        <v>40647.947</v>
      </c>
      <c r="S23">
        <f ca="1">+(O23-G23)^2</f>
        <v>4.0818574842076183E-5</v>
      </c>
    </row>
    <row r="24" spans="1:19" ht="12.95" customHeight="1" x14ac:dyDescent="0.2">
      <c r="A24" s="37" t="s">
        <v>46</v>
      </c>
      <c r="B24" s="38" t="s">
        <v>45</v>
      </c>
      <c r="C24" s="37">
        <v>55980.849499999997</v>
      </c>
      <c r="D24" s="37">
        <v>2.9999999999999997E-4</v>
      </c>
      <c r="E24">
        <f t="shared" si="0"/>
        <v>51131.593853766863</v>
      </c>
      <c r="F24" s="43">
        <f>ROUND(2*E24,0)/2-0.5</f>
        <v>51131</v>
      </c>
      <c r="G24">
        <f t="shared" si="1"/>
        <v>0.18242000010650372</v>
      </c>
      <c r="K24">
        <f t="shared" si="4"/>
        <v>0.18242000010650372</v>
      </c>
      <c r="O24">
        <f t="shared" ca="1" si="2"/>
        <v>0.1811224751718053</v>
      </c>
      <c r="Q24" s="2">
        <f t="shared" si="3"/>
        <v>40962.349499999997</v>
      </c>
      <c r="S24">
        <f ca="1">+(O24-G24)^2</f>
        <v>1.6835709561641499E-6</v>
      </c>
    </row>
    <row r="25" spans="1:19" ht="12.95" customHeight="1" x14ac:dyDescent="0.2">
      <c r="A25" s="37" t="s">
        <v>46</v>
      </c>
      <c r="B25" s="38" t="s">
        <v>45</v>
      </c>
      <c r="C25" s="37">
        <v>56041.668400000002</v>
      </c>
      <c r="D25" s="37">
        <v>6.9999999999999999E-4</v>
      </c>
      <c r="E25">
        <f t="shared" si="0"/>
        <v>51329.584933915328</v>
      </c>
      <c r="F25" s="43">
        <f>ROUND(2*E25,0)/2-0.5</f>
        <v>51329</v>
      </c>
      <c r="G25">
        <f t="shared" si="1"/>
        <v>0.17968000011023832</v>
      </c>
      <c r="K25">
        <f t="shared" si="4"/>
        <v>0.17968000011023832</v>
      </c>
      <c r="O25">
        <f t="shared" ca="1" si="2"/>
        <v>0.18283675020987644</v>
      </c>
      <c r="Q25" s="2">
        <f t="shared" si="3"/>
        <v>41023.168400000002</v>
      </c>
      <c r="S25">
        <f ca="1">+(O25-G25)^2</f>
        <v>9.9650711915652622E-6</v>
      </c>
    </row>
    <row r="26" spans="1:19" ht="12.95" customHeight="1" x14ac:dyDescent="0.2">
      <c r="A26" s="39" t="s">
        <v>50</v>
      </c>
      <c r="B26" s="40" t="s">
        <v>45</v>
      </c>
      <c r="C26" s="41">
        <v>58868.242899999997</v>
      </c>
      <c r="D26" s="41" t="s">
        <v>51</v>
      </c>
      <c r="E26">
        <f t="shared" si="0"/>
        <v>60531.272869327775</v>
      </c>
      <c r="F26" s="42">
        <f>ROUND(2*E26,0)/2-1</f>
        <v>60530.5</v>
      </c>
      <c r="G26">
        <f t="shared" si="1"/>
        <v>0.2374100001034094</v>
      </c>
      <c r="K26">
        <f t="shared" si="4"/>
        <v>0.2374100001034094</v>
      </c>
      <c r="O26">
        <f t="shared" ca="1" si="2"/>
        <v>0.26250292072912529</v>
      </c>
      <c r="Q26" s="2">
        <f t="shared" si="3"/>
        <v>43849.742899999997</v>
      </c>
      <c r="S26">
        <f t="shared" ref="S26:S29" ca="1" si="5">+(O26-G26)^2</f>
        <v>6.2965466552847781E-4</v>
      </c>
    </row>
    <row r="27" spans="1:19" ht="12.95" customHeight="1" x14ac:dyDescent="0.2">
      <c r="A27" s="39" t="s">
        <v>50</v>
      </c>
      <c r="B27" s="40" t="s">
        <v>45</v>
      </c>
      <c r="C27" s="41">
        <v>58868.243499999997</v>
      </c>
      <c r="D27" s="41" t="s">
        <v>52</v>
      </c>
      <c r="E27">
        <f t="shared" si="0"/>
        <v>60531.274822579937</v>
      </c>
      <c r="F27" s="42">
        <f>ROUND(2*E27,0)/2-1</f>
        <v>60530.5</v>
      </c>
      <c r="G27">
        <f t="shared" si="1"/>
        <v>0.23801000010280404</v>
      </c>
      <c r="K27">
        <f t="shared" si="4"/>
        <v>0.23801000010280404</v>
      </c>
      <c r="O27">
        <f t="shared" ca="1" si="2"/>
        <v>0.26250292072912529</v>
      </c>
      <c r="Q27" s="2">
        <f t="shared" si="3"/>
        <v>43849.743499999997</v>
      </c>
      <c r="S27">
        <f t="shared" ca="1" si="5"/>
        <v>5.9990316080727271E-4</v>
      </c>
    </row>
    <row r="28" spans="1:19" ht="12.95" customHeight="1" x14ac:dyDescent="0.2">
      <c r="A28" s="39" t="s">
        <v>50</v>
      </c>
      <c r="B28" s="40" t="s">
        <v>45</v>
      </c>
      <c r="C28" s="41">
        <v>58868.244899999998</v>
      </c>
      <c r="D28" s="41" t="s">
        <v>53</v>
      </c>
      <c r="E28">
        <f t="shared" si="0"/>
        <v>60531.279380168322</v>
      </c>
      <c r="F28" s="42">
        <f>ROUND(2*E28,0)/2-1</f>
        <v>60530.5</v>
      </c>
      <c r="G28">
        <f t="shared" si="1"/>
        <v>0.23941000010381686</v>
      </c>
      <c r="K28">
        <f t="shared" si="4"/>
        <v>0.23941000010381686</v>
      </c>
      <c r="O28">
        <f t="shared" ca="1" si="2"/>
        <v>0.26250292072912529</v>
      </c>
      <c r="Q28" s="2">
        <f t="shared" si="3"/>
        <v>43849.744899999998</v>
      </c>
      <c r="S28">
        <f t="shared" ca="1" si="5"/>
        <v>5.3328298300679559E-4</v>
      </c>
    </row>
    <row r="29" spans="1:19" x14ac:dyDescent="0.2">
      <c r="A29" s="46" t="s">
        <v>59</v>
      </c>
      <c r="B29" s="47" t="s">
        <v>60</v>
      </c>
      <c r="C29" s="51">
        <v>59679.468999999997</v>
      </c>
      <c r="D29" s="52">
        <v>3.0000000000000001E-3</v>
      </c>
      <c r="E29">
        <f t="shared" ref="E29" si="6">+(C29-C$7)/C$8</f>
        <v>63172.154762680206</v>
      </c>
      <c r="F29" s="42">
        <f>ROUND(2*E29,0)/2-1</f>
        <v>63171</v>
      </c>
      <c r="G29">
        <f t="shared" ref="G29" si="7">+C29-(C$7+F29*C$8)</f>
        <v>0.35472000010486227</v>
      </c>
      <c r="K29">
        <f t="shared" ref="K29" si="8">+G29</f>
        <v>0.35472000010486227</v>
      </c>
      <c r="O29">
        <f t="shared" ref="O29" ca="1" si="9">+C$11+C$12*$F29</f>
        <v>0.28536425021410883</v>
      </c>
      <c r="Q29" s="2">
        <f t="shared" ref="Q29" si="10">+C29-15018.5</f>
        <v>44660.968999999997</v>
      </c>
      <c r="S29">
        <f t="shared" ca="1" si="5"/>
        <v>4.8102200429087456E-3</v>
      </c>
    </row>
    <row r="30" spans="1:19" x14ac:dyDescent="0.2">
      <c r="A30" s="48" t="s">
        <v>61</v>
      </c>
      <c r="B30" s="49" t="s">
        <v>45</v>
      </c>
      <c r="C30" s="53">
        <v>59680.003000000026</v>
      </c>
      <c r="D30" s="8"/>
      <c r="E30">
        <f t="shared" ref="E30" si="11">+(C30-C$7)/C$8</f>
        <v>63173.893157107021</v>
      </c>
      <c r="F30" s="42">
        <f>ROUND(2*E30,0)/2-1</f>
        <v>63173</v>
      </c>
      <c r="G30">
        <f t="shared" ref="G30" si="12">+C30-(C$7+F30*C$8)</f>
        <v>0.27436000013403827</v>
      </c>
      <c r="K30">
        <f t="shared" ref="K30" si="13">+G30</f>
        <v>0.27436000013403827</v>
      </c>
      <c r="O30">
        <f t="shared" ref="O30" ca="1" si="14">+C$11+C$12*$F30</f>
        <v>0.28538156612358434</v>
      </c>
      <c r="Q30" s="2">
        <f t="shared" ref="Q30" si="15">+C30-15018.5</f>
        <v>44661.503000000026</v>
      </c>
      <c r="S30">
        <f t="shared" ref="S30" ca="1" si="16">+(O30-G30)^2</f>
        <v>1.2147491686191858E-4</v>
      </c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8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2024-08-03T06:15:46Z</dcterms:modified>
</cp:coreProperties>
</file>