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520B616-AB55-48EA-B43A-EAFCDD5AE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F14" i="1"/>
  <c r="E22" i="1"/>
  <c r="F22" i="1" s="1"/>
  <c r="G22" i="1" s="1"/>
  <c r="I22" i="1" s="1"/>
  <c r="E23" i="1"/>
  <c r="F23" i="1" s="1"/>
  <c r="G23" i="1" s="1"/>
  <c r="I23" i="1" s="1"/>
  <c r="E25" i="1"/>
  <c r="F25" i="1" s="1"/>
  <c r="G25" i="1" s="1"/>
  <c r="I25" i="1" s="1"/>
  <c r="G11" i="1"/>
  <c r="F11" i="1"/>
  <c r="Q22" i="1"/>
  <c r="Q23" i="1"/>
  <c r="Q25" i="1"/>
  <c r="E21" i="1"/>
  <c r="F21" i="1" s="1"/>
  <c r="G21" i="1" s="1"/>
  <c r="H21" i="1" s="1"/>
  <c r="C17" i="1"/>
  <c r="Q21" i="1"/>
  <c r="C11" i="1"/>
  <c r="F15" i="1" l="1"/>
  <c r="C12" i="1"/>
  <c r="O24" i="1" l="1"/>
  <c r="S24" i="1" s="1"/>
  <c r="C16" i="1"/>
  <c r="D18" i="1" s="1"/>
  <c r="O22" i="1"/>
  <c r="S22" i="1" s="1"/>
  <c r="O25" i="1"/>
  <c r="S25" i="1" s="1"/>
  <c r="O21" i="1"/>
  <c r="S21" i="1" s="1"/>
  <c r="O23" i="1"/>
  <c r="S23" i="1" s="1"/>
  <c r="C15" i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<sst xmlns="http://schemas.openxmlformats.org/spreadsheetml/2006/main" count="64" uniqueCount="57">
  <si>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</si>
  <si>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</si>
  <si>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</si>
  <si>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</si>
  <si>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</si>
  <si>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</si>
  <si>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</si>
  <si>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</si>
  <si>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</si>
  <si>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</si>
  <si>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</si>
  <si>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</si>
  <si>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</si>
  <si>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</si>
  <si>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</si>
  <si>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</si>
  <si>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</si>
  <si>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</si>
  <si>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</si>
  <si>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</si>
  <si>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</si>
  <si>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</si>
  <si>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</si>
  <si>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</si>
  <si>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</si>
  <si>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</si>
  <si>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</si>
  <si>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</si>
  <si>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</si>
  <si>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</si>
  <si>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</si>
  <si>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</si>
  <si>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</si>
  <si>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</si>
  <si>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</si>
  <si>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</si>
  <si>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</si>
  <si>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</si>
  <si>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</si>
  <si>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G5516-0355</t>
  </si>
  <si>
    <t>IBVS 5992</t>
  </si>
  <si>
    <t>II</t>
  </si>
  <si>
    <t>IBVS 6029</t>
  </si>
  <si>
    <t>I</t>
  </si>
  <si>
    <t>G5516-0355_Crt.xls</t>
  </si>
  <si>
    <t>Crt</t>
  </si>
  <si>
    <t>VSX</t>
  </si>
  <si>
    <t>BE Crt / GSC 5516-0355</t>
  </si>
  <si>
    <t>CCD</t>
  </si>
  <si>
    <t xml:space="preserve">Mag </t>
  </si>
  <si>
    <t>Next ToM-P</t>
  </si>
  <si>
    <t>Next ToM-S</t>
  </si>
  <si>
    <t>12.85 (0.98)</t>
  </si>
  <si>
    <t>VSX 1</t>
  </si>
  <si>
    <t>VSX 2</t>
  </si>
  <si>
    <t>EW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</si>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</sst>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Crt - O-C Diagr.</a:t>
            </a:r>
          </a:p>
        </c:rich>
      </c:tx>
      <c:layout>
        <c:manualLayout>
          <c:xMode val="edge"/>
          <c:yMode val="edge"/>
          <c:x val="0.347368421052631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-5.2288700033386704E-2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C-427F-8145-8257D84CE1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-3.7962499991408549E-3</c:v>
                </c:pt>
                <c:pt idx="2">
                  <c:v>-4.6568499965360388E-3</c:v>
                </c:pt>
                <c:pt idx="4">
                  <c:v>-3.6997999923187308E-3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7C-427F-8145-8257D84CE1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7C-427F-8145-8257D84CE1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7C-427F-8145-8257D84CE1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7C-427F-8145-8257D84CE1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7C-427F-8145-8257D84CE1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7C-427F-8145-8257D84CE1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-5.1997347951798882E-2</c:v>
                </c:pt>
                <c:pt idx="1">
                  <c:v>-6.7666050710410161E-3</c:v>
                </c:pt>
                <c:pt idx="2">
                  <c:v>-2.2310401356108612E-3</c:v>
                </c:pt>
                <c:pt idx="3">
                  <c:v>-1.9406731386716631E-3</c:v>
                </c:pt>
                <c:pt idx="4">
                  <c:v>-1.505933724259903E-3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7C-427F-8145-8257D84CE13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-15429</c:v>
                </c:pt>
                <c:pt idx="1">
                  <c:v>-1487.5</c:v>
                </c:pt>
                <c:pt idx="2">
                  <c:v>-89.5</c:v>
                </c:pt>
                <c:pt idx="3">
                  <c:v>0</c:v>
                </c:pt>
                <c:pt idx="4">
                  <c:v>134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7C-427F-8145-8257D84C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359144"/>
        <c:axId val="1"/>
      </c:scatterChart>
      <c:valAx>
        <c:axId val="61035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5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C40B1F-A576-3E4E-CED5-6AB9CC563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44</v>
      </c>
    </row>
    <row r="2" spans="1:7" x14ac:dyDescent="0.2">
      <c r="A2" t="s">
        <v>23</v>
      </c>
      <c r="B2" s="44" t="s">
        <v>55</v>
      </c>
      <c r="C2" s="28" t="s">
        <v>38</v>
      </c>
      <c r="D2" s="3" t="s">
        <v>45</v>
      </c>
      <c r="E2" s="29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45" t="s">
        <v>53</v>
      </c>
    </row>
    <row r="7" spans="1:7" x14ac:dyDescent="0.2">
      <c r="A7" t="s">
        <v>2</v>
      </c>
      <c r="C7" s="34">
        <v>56000.826999999997</v>
      </c>
      <c r="D7" s="27" t="s">
        <v>54</v>
      </c>
      <c r="E7" s="46">
        <v>51874.138999999966</v>
      </c>
    </row>
    <row r="8" spans="1:7" x14ac:dyDescent="0.2">
      <c r="A8" t="s">
        <v>3</v>
      </c>
      <c r="C8" s="34">
        <v>0.26745970000000002</v>
      </c>
      <c r="D8" s="27" t="s">
        <v>54</v>
      </c>
      <c r="E8" s="47">
        <v>0.267459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-1.9406731386716631E-3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3.244323988147464E-6</v>
      </c>
      <c r="D12" s="3"/>
      <c r="E12" s="38" t="s">
        <v>49</v>
      </c>
      <c r="F12" s="39" t="s">
        <v>52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41">
        <v>1</v>
      </c>
    </row>
    <row r="14" spans="1:7" x14ac:dyDescent="0.2">
      <c r="A14" s="10"/>
      <c r="B14" s="10"/>
      <c r="C14" s="10"/>
      <c r="D14" s="14"/>
      <c r="E14" s="35" t="s">
        <v>31</v>
      </c>
      <c r="F14" s="40">
        <f ca="1">NOW()+15018.5+$C$9/24</f>
        <v>60525.764895370368</v>
      </c>
    </row>
    <row r="15" spans="1:7" x14ac:dyDescent="0.2">
      <c r="A15" s="12" t="s">
        <v>17</v>
      </c>
      <c r="B15" s="10"/>
      <c r="C15" s="13">
        <f ca="1">(C7+C11)+(C8+C12)*INT(MAX(F21:F3533))</f>
        <v>56036.665093866271</v>
      </c>
      <c r="D15" s="14"/>
      <c r="E15" s="35" t="s">
        <v>35</v>
      </c>
      <c r="F15" s="40">
        <f ca="1">ROUND(2*($F$14-$C$7)/$C$8,0)/2+$F$13</f>
        <v>16919</v>
      </c>
    </row>
    <row r="16" spans="1:7" x14ac:dyDescent="0.2">
      <c r="A16" s="15" t="s">
        <v>4</v>
      </c>
      <c r="B16" s="10"/>
      <c r="C16" s="16">
        <f ca="1">+C8+C12</f>
        <v>0.26746294432398815</v>
      </c>
      <c r="D16" s="14"/>
      <c r="E16" s="35" t="s">
        <v>36</v>
      </c>
      <c r="F16" s="40">
        <f ca="1">ROUND(2*($F$14-$C$15)/$C$16,0)/2+$F$13</f>
        <v>16785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/>
      <c r="E17" s="36" t="s">
        <v>50</v>
      </c>
      <c r="F17" s="42">
        <f ca="1">+$C$15+$C$16*$F$16-15018.5-$C$9/24</f>
        <v>45507.926447677746</v>
      </c>
    </row>
    <row r="18" spans="1:19" ht="14.25" thickTop="1" thickBot="1" x14ac:dyDescent="0.25">
      <c r="A18" s="15" t="s">
        <v>5</v>
      </c>
      <c r="B18" s="10"/>
      <c r="C18" s="17">
        <f ca="1">+C15</f>
        <v>56036.665093866271</v>
      </c>
      <c r="D18" s="18">
        <f ca="1">+C16</f>
        <v>0.26746294432398815</v>
      </c>
      <c r="E18" s="37" t="s">
        <v>51</v>
      </c>
      <c r="F18" s="43">
        <f ca="1">+($C$15+$C$16*$F$16)-($C$16/2)-15018.5-$C$9/24</f>
        <v>45507.792716205586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2.4172148334011649E-3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56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44" t="s">
        <v>53</v>
      </c>
      <c r="C21" s="8">
        <v>51874.138999999966</v>
      </c>
      <c r="D21" s="8" t="s">
        <v>13</v>
      </c>
      <c r="E21">
        <f>+(C21-C$7)/C$8</f>
        <v>-15429.195501228898</v>
      </c>
      <c r="F21">
        <f>ROUND(2*E21,0)/2</f>
        <v>-15429</v>
      </c>
      <c r="G21">
        <f>+C21-(C$7+F21*C$8)</f>
        <v>-5.2288700033386704E-2</v>
      </c>
      <c r="H21">
        <f>+G21</f>
        <v>-5.2288700033386704E-2</v>
      </c>
      <c r="O21">
        <f ca="1">+C$11+C$12*$F21</f>
        <v>-5.1997347951798882E-2</v>
      </c>
      <c r="Q21" s="2">
        <f>+C21-15018.5</f>
        <v>36855.638999999966</v>
      </c>
      <c r="S21">
        <f ca="1">+(O21-G21)^2</f>
        <v>8.4886035445556593E-8</v>
      </c>
    </row>
    <row r="22" spans="1:19" x14ac:dyDescent="0.2">
      <c r="A22" s="30" t="s">
        <v>40</v>
      </c>
      <c r="B22" s="31" t="s">
        <v>41</v>
      </c>
      <c r="C22" s="30">
        <v>55602.976900000001</v>
      </c>
      <c r="D22" s="30">
        <v>5.9999999999999995E-4</v>
      </c>
      <c r="E22">
        <f>+(C22-C$7)/C$8</f>
        <v>-1487.5141937271146</v>
      </c>
      <c r="F22">
        <f>ROUND(2*E22,0)/2</f>
        <v>-1487.5</v>
      </c>
      <c r="G22">
        <f>+C22-(C$7+F22*C$8)</f>
        <v>-3.7962499991408549E-3</v>
      </c>
      <c r="I22">
        <f>+G22</f>
        <v>-3.7962499991408549E-3</v>
      </c>
      <c r="O22">
        <f ca="1">+C$11+C$12*$F22</f>
        <v>-6.7666050710410161E-3</v>
      </c>
      <c r="Q22" s="2">
        <f>+C22-15018.5</f>
        <v>40584.476900000001</v>
      </c>
      <c r="S22">
        <f ca="1">+(O22-G22)^2</f>
        <v>8.8230092531630111E-6</v>
      </c>
    </row>
    <row r="23" spans="1:19" x14ac:dyDescent="0.2">
      <c r="A23" s="32" t="s">
        <v>42</v>
      </c>
      <c r="B23" s="33" t="s">
        <v>41</v>
      </c>
      <c r="C23" s="32">
        <v>55976.884700000002</v>
      </c>
      <c r="D23" s="32">
        <v>5.0000000000000001E-4</v>
      </c>
      <c r="E23">
        <f>+(C23-C$7)/C$8</f>
        <v>-89.517411408130471</v>
      </c>
      <c r="F23">
        <f>ROUND(2*E23,0)/2</f>
        <v>-89.5</v>
      </c>
      <c r="G23">
        <f>+C23-(C$7+F23*C$8)</f>
        <v>-4.6568499965360388E-3</v>
      </c>
      <c r="I23">
        <f>+G23</f>
        <v>-4.6568499965360388E-3</v>
      </c>
      <c r="O23">
        <f ca="1">+C$11+C$12*$F23</f>
        <v>-2.2310401356108612E-3</v>
      </c>
      <c r="Q23" s="2">
        <f>+C23-15018.5</f>
        <v>40958.384700000002</v>
      </c>
      <c r="S23">
        <f ca="1">+(O23-G23)^2</f>
        <v>5.8845534813618293E-6</v>
      </c>
    </row>
    <row r="24" spans="1:19" x14ac:dyDescent="0.2">
      <c r="A24" s="44" t="s">
        <v>54</v>
      </c>
      <c r="C24" s="8">
        <v>56000.826999999997</v>
      </c>
      <c r="D24" s="8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-1.9406731386716631E-3</v>
      </c>
      <c r="Q24" s="2">
        <f>+C24-15018.5</f>
        <v>40982.326999999997</v>
      </c>
      <c r="S24">
        <f ca="1">+(O24-G24)^2</f>
        <v>3.766212231161724E-6</v>
      </c>
    </row>
    <row r="25" spans="1:19" x14ac:dyDescent="0.2">
      <c r="A25" s="32" t="s">
        <v>42</v>
      </c>
      <c r="B25" s="33" t="s">
        <v>43</v>
      </c>
      <c r="C25" s="32">
        <v>56036.662900000003</v>
      </c>
      <c r="D25" s="32">
        <v>5.9999999999999995E-4</v>
      </c>
      <c r="E25">
        <f>+(C25-C$7)/C$8</f>
        <v>133.98616688796665</v>
      </c>
      <c r="F25">
        <f>ROUND(2*E25,0)/2</f>
        <v>134</v>
      </c>
      <c r="G25">
        <f>+C25-(C$7+F25*C$8)</f>
        <v>-3.6997999923187308E-3</v>
      </c>
      <c r="I25">
        <f>+G25</f>
        <v>-3.6997999923187308E-3</v>
      </c>
      <c r="O25">
        <f ca="1">+C$11+C$12*$F25</f>
        <v>-1.505933724259903E-3</v>
      </c>
      <c r="Q25" s="2">
        <f>+C25-15018.5</f>
        <v>41018.162900000003</v>
      </c>
      <c r="S25">
        <f ca="1">+(O25-G25)^2</f>
        <v>4.8130492021263687E-6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2024-08-03T06:21:27Z</dcterms:modified>
</cp:coreProperties>
</file>