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7390AD-211C-4FAF-B5D0-E397EA121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F14" i="1"/>
  <c r="E31" i="1"/>
  <c r="F31" i="1" s="1"/>
  <c r="S31" i="1" s="1"/>
  <c r="Q31" i="1"/>
  <c r="Q30" i="1"/>
  <c r="Q29" i="1"/>
  <c r="Q27" i="1"/>
  <c r="Q28" i="1"/>
  <c r="C9" i="1"/>
  <c r="D9" i="1"/>
  <c r="Q25" i="1"/>
  <c r="Q26" i="1"/>
  <c r="C17" i="1"/>
  <c r="Q23" i="1"/>
  <c r="Q24" i="1"/>
  <c r="Q22" i="1"/>
  <c r="E26" i="1"/>
  <c r="F26" i="1" s="1"/>
  <c r="G26" i="1" s="1"/>
  <c r="K26" i="1" s="1"/>
  <c r="E30" i="1"/>
  <c r="F30" i="1" s="1"/>
  <c r="G30" i="1" s="1"/>
  <c r="J30" i="1" s="1"/>
  <c r="E22" i="1"/>
  <c r="F22" i="1" s="1"/>
  <c r="G22" i="1" s="1"/>
  <c r="H22" i="1" s="1"/>
  <c r="E25" i="1"/>
  <c r="F25" i="1" s="1"/>
  <c r="G25" i="1" s="1"/>
  <c r="K25" i="1" s="1"/>
  <c r="E27" i="1"/>
  <c r="F27" i="1" s="1"/>
  <c r="G27" i="1" s="1"/>
  <c r="K27" i="1" s="1"/>
  <c r="E28" i="1"/>
  <c r="F28" i="1" s="1"/>
  <c r="G28" i="1" s="1"/>
  <c r="K28" i="1" s="1"/>
  <c r="E23" i="1"/>
  <c r="F23" i="1" s="1"/>
  <c r="G23" i="1" s="1"/>
  <c r="K23" i="1" s="1"/>
  <c r="E29" i="1"/>
  <c r="F29" i="1" s="1"/>
  <c r="G29" i="1" s="1"/>
  <c r="J29" i="1" s="1"/>
  <c r="E24" i="1"/>
  <c r="F24" i="1" s="1"/>
  <c r="G24" i="1" s="1"/>
  <c r="K24" i="1" s="1"/>
  <c r="C11" i="1"/>
  <c r="C12" i="1"/>
  <c r="O21" i="1" l="1"/>
  <c r="F15" i="1"/>
  <c r="O31" i="1"/>
  <c r="C16" i="1"/>
  <c r="D18" i="1" s="1"/>
  <c r="O22" i="1"/>
  <c r="O29" i="1"/>
  <c r="C15" i="1"/>
  <c r="O23" i="1"/>
  <c r="O30" i="1"/>
  <c r="O27" i="1"/>
  <c r="O25" i="1"/>
  <c r="O24" i="1"/>
  <c r="O28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<sst xmlns="http://schemas.openxmlformats.org/spreadsheetml/2006/main" count="72" uniqueCount="55">
  <si>
    <t>VSB-66</t>
  </si>
  <si>
    <t>OEJV 0181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</si>
  <si>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</si>
  <si>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</si>
  <si>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</si>
  <si>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</si>
  <si>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</si>
  <si>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</si>
  <si>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</si>
  <si>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</si>
  <si>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</si>
  <si>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</si>
  <si>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</si>
  <si>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</si>
  <si>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</si>
  <si>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</si>
  <si>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</si>
  <si>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</si>
  <si>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</si>
  <si>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</si>
  <si>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</si>
  <si>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</si>
  <si>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</si>
  <si>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</si>
  <si>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</si>
  <si>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</si>
  <si>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</si>
  <si>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</si>
  <si>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</si>
  <si>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</si>
  <si>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</si>
  <si>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</si>
  <si>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</si>
  <si>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</si>
  <si>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</si>
  <si>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</si>
  <si>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</si>
  <si>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</si>
  <si>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</si>
  <si>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</si>
  <si>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TW Crt / GSC 6083-0979               </t>
  </si>
  <si>
    <t>EA</t>
  </si>
  <si>
    <t>IBVS 5843</t>
  </si>
  <si>
    <t>Add cycle</t>
  </si>
  <si>
    <t>Old Cycle</t>
  </si>
  <si>
    <t>OEJV 0130</t>
  </si>
  <si>
    <t>OEJV 0116</t>
  </si>
  <si>
    <t>JBAV, 55</t>
  </si>
  <si>
    <t>Next ToM-P</t>
  </si>
  <si>
    <t>Next ToM-S</t>
  </si>
  <si>
    <t>8.39-8.72</t>
  </si>
  <si>
    <t xml:space="preserve">Mag Hp </t>
  </si>
  <si>
    <t>VSX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</si>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</sst>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22" fontId="37" fillId="0" borderId="14" xfId="0" applyNumberFormat="1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17" xfId="0" applyBorder="1" applyAlignment="1"/>
    <xf numFmtId="0" fontId="39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-7.609999999840511E-2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8-4796-930A-41E1D3B20CA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8-4796-930A-41E1D3B20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-0.20679999992717057</c:v>
                </c:pt>
                <c:pt idx="9">
                  <c:v>-0.20539999997708946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8-4796-930A-41E1D3B20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">
                  <c:v>-9.7399999998742715E-2</c:v>
                </c:pt>
                <c:pt idx="3">
                  <c:v>-9.9499999996623956E-2</c:v>
                </c:pt>
                <c:pt idx="4">
                  <c:v>-0.13390000000072177</c:v>
                </c:pt>
                <c:pt idx="5">
                  <c:v>-0.14020000000164146</c:v>
                </c:pt>
                <c:pt idx="6">
                  <c:v>-0.19350000000122236</c:v>
                </c:pt>
                <c:pt idx="7">
                  <c:v>-0.18935000000055879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A8-4796-930A-41E1D3B20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A8-4796-930A-41E1D3B20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A8-4796-930A-41E1D3B20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0.01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A8-4796-930A-41E1D3B20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6.3815078325443475E-3</c:v>
                </c:pt>
                <c:pt idx="1">
                  <c:v>-8.0549226454494818E-2</c:v>
                </c:pt>
                <c:pt idx="2">
                  <c:v>-0.10154312191616646</c:v>
                </c:pt>
                <c:pt idx="3">
                  <c:v>-0.10158416570006025</c:v>
                </c:pt>
                <c:pt idx="4">
                  <c:v>-0.13446023659898299</c:v>
                </c:pt>
                <c:pt idx="5">
                  <c:v>-0.14330517202809392</c:v>
                </c:pt>
                <c:pt idx="6">
                  <c:v>-0.18888429404214349</c:v>
                </c:pt>
                <c:pt idx="7">
                  <c:v>-0.18907925201563899</c:v>
                </c:pt>
                <c:pt idx="8">
                  <c:v>-0.20456301948956981</c:v>
                </c:pt>
                <c:pt idx="9">
                  <c:v>-0.20456301948956981</c:v>
                </c:pt>
                <c:pt idx="10">
                  <c:v>-0.22903537563623985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A8-4796-930A-41E1D3B20CA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9-474E-A700-C96A023AA8E6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4236</c:v>
                </c:pt>
                <c:pt idx="2">
                  <c:v>5259</c:v>
                </c:pt>
                <c:pt idx="3">
                  <c:v>5261</c:v>
                </c:pt>
                <c:pt idx="4">
                  <c:v>6863</c:v>
                </c:pt>
                <c:pt idx="5">
                  <c:v>7294</c:v>
                </c:pt>
                <c:pt idx="6">
                  <c:v>9515</c:v>
                </c:pt>
                <c:pt idx="7">
                  <c:v>9524.5</c:v>
                </c:pt>
                <c:pt idx="8">
                  <c:v>10279</c:v>
                </c:pt>
                <c:pt idx="9">
                  <c:v>10279</c:v>
                </c:pt>
                <c:pt idx="10">
                  <c:v>11471.5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  <c:pt idx="10">
                  <c:v>0.23254999989876524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29-474E-A700-C96A023A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161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4236</c:v>
                      </c:pt>
                      <c:pt idx="2">
                        <c:v>5259</c:v>
                      </c:pt>
                      <c:pt idx="3">
                        <c:v>5261</c:v>
                      </c:pt>
                      <c:pt idx="4">
                        <c:v>6863</c:v>
                      </c:pt>
                      <c:pt idx="5">
                        <c:v>7294</c:v>
                      </c:pt>
                      <c:pt idx="6">
                        <c:v>9515</c:v>
                      </c:pt>
                      <c:pt idx="7">
                        <c:v>9524.5</c:v>
                      </c:pt>
                      <c:pt idx="8">
                        <c:v>10279</c:v>
                      </c:pt>
                      <c:pt idx="9">
                        <c:v>10279</c:v>
                      </c:pt>
                      <c:pt idx="10">
                        <c:v>11471.5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33482.218000000001</c:v>
                      </c:pt>
                      <c:pt idx="1">
                        <c:v>37482.1967</c:v>
                      </c:pt>
                      <c:pt idx="2">
                        <c:v>38448.194300000003</c:v>
                      </c:pt>
                      <c:pt idx="3">
                        <c:v>38450.080800000003</c:v>
                      </c:pt>
                      <c:pt idx="4">
                        <c:v>39962.815000000002</c:v>
                      </c:pt>
                      <c:pt idx="5">
                        <c:v>40369.802000000003</c:v>
                      </c:pt>
                      <c:pt idx="6">
                        <c:v>42467.038999999997</c:v>
                      </c:pt>
                      <c:pt idx="7">
                        <c:v>42476.014000000003</c:v>
                      </c:pt>
                      <c:pt idx="8">
                        <c:v>43188.470900000073</c:v>
                      </c:pt>
                      <c:pt idx="9">
                        <c:v>43188.472300000023</c:v>
                      </c:pt>
                      <c:pt idx="10">
                        <c:v>44314.987999999896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C29-474E-A700-C96A023AA8E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0</c:v>
                      </c:pt>
                      <c:pt idx="1">
                        <c:v>4236</c:v>
                      </c:pt>
                      <c:pt idx="2">
                        <c:v>5259</c:v>
                      </c:pt>
                      <c:pt idx="3">
                        <c:v>5261</c:v>
                      </c:pt>
                      <c:pt idx="4">
                        <c:v>6863</c:v>
                      </c:pt>
                      <c:pt idx="5">
                        <c:v>7294</c:v>
                      </c:pt>
                      <c:pt idx="6">
                        <c:v>9515</c:v>
                      </c:pt>
                      <c:pt idx="7">
                        <c:v>9524.5</c:v>
                      </c:pt>
                      <c:pt idx="8">
                        <c:v>10279</c:v>
                      </c:pt>
                      <c:pt idx="9">
                        <c:v>10279</c:v>
                      </c:pt>
                      <c:pt idx="10">
                        <c:v>11471.5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C29-474E-A700-C96A023AA8E6}"/>
                  </c:ext>
                </c:extLst>
              </c15:ser>
            </c15:filteredScatterSeries>
          </c:ext>
        </c:extLst>
      </c:scatterChart>
      <c:valAx>
        <c:axId val="53391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91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74135338345864665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C3AD34-08B7-AF19-102E-58B8F5B70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3"/>
  <sheetViews>
    <sheetView tabSelected="1"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27</v>
      </c>
      <c r="B2" t="s">
        <v>41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39</v>
      </c>
      <c r="C4" s="8">
        <v>52500.6967</v>
      </c>
      <c r="D4" s="9">
        <v>0.94427914000000002</v>
      </c>
    </row>
    <row r="5" spans="1:6" ht="12.95" customHeight="1" thickTop="1" x14ac:dyDescent="0.2">
      <c r="A5" s="11" t="s">
        <v>32</v>
      </c>
      <c r="B5" s="12"/>
      <c r="C5" s="13">
        <v>-9.5</v>
      </c>
      <c r="D5" s="12" t="s">
        <v>33</v>
      </c>
    </row>
    <row r="6" spans="1:6" ht="12.95" customHeight="1" x14ac:dyDescent="0.2">
      <c r="A6" s="5" t="s">
        <v>5</v>
      </c>
      <c r="E6" s="57" t="s">
        <v>38</v>
      </c>
    </row>
    <row r="7" spans="1:6" ht="12.95" customHeight="1" x14ac:dyDescent="0.2">
      <c r="A7" t="s">
        <v>6</v>
      </c>
      <c r="C7" s="54">
        <v>48500.718000000001</v>
      </c>
      <c r="D7" s="54" t="s">
        <v>52</v>
      </c>
      <c r="E7" s="58">
        <v>52500.6967</v>
      </c>
    </row>
    <row r="8" spans="1:6" ht="12.95" customHeight="1" x14ac:dyDescent="0.2">
      <c r="A8" t="s">
        <v>7</v>
      </c>
      <c r="C8" s="54">
        <v>0.94430000000000003</v>
      </c>
      <c r="D8" s="54" t="s">
        <v>52</v>
      </c>
      <c r="E8" s="59">
        <v>0.94427914000000002</v>
      </c>
      <c r="F8">
        <v>0.94430000000000003</v>
      </c>
    </row>
    <row r="9" spans="1:6" ht="12.95" customHeight="1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2">
        <f ca="1">INTERCEPT(INDIRECT($D$9):G992,INDIRECT($C$9):F992)</f>
        <v>6.3815078325443475E-3</v>
      </c>
      <c r="D11" s="3"/>
      <c r="E11" s="12"/>
    </row>
    <row r="12" spans="1:6" ht="12.95" customHeight="1" x14ac:dyDescent="0.2">
      <c r="A12" s="12" t="s">
        <v>20</v>
      </c>
      <c r="B12" s="12"/>
      <c r="C12" s="22">
        <f ca="1">SLOPE(INDIRECT($D$9):G992,INDIRECT($C$9):F992)</f>
        <v>-2.05218919468931E-5</v>
      </c>
      <c r="D12" s="3"/>
      <c r="E12" s="48" t="s">
        <v>51</v>
      </c>
      <c r="F12" s="51" t="s">
        <v>50</v>
      </c>
    </row>
    <row r="13" spans="1:6" ht="12.95" customHeight="1" x14ac:dyDescent="0.2">
      <c r="A13" s="12" t="s">
        <v>22</v>
      </c>
      <c r="B13" s="12"/>
      <c r="C13" s="3" t="s">
        <v>17</v>
      </c>
      <c r="E13" s="46" t="s">
        <v>43</v>
      </c>
      <c r="F13" s="50">
        <v>1</v>
      </c>
    </row>
    <row r="14" spans="1:6" ht="12.95" customHeight="1" x14ac:dyDescent="0.2">
      <c r="A14" s="12"/>
      <c r="B14" s="12"/>
      <c r="C14" s="12"/>
      <c r="E14" s="46" t="s">
        <v>34</v>
      </c>
      <c r="F14" s="49">
        <f ca="1">NOW()+15018.5+$C$5/24</f>
        <v>60525.780511921294</v>
      </c>
    </row>
    <row r="15" spans="1:6" ht="12.95" customHeight="1" x14ac:dyDescent="0.2">
      <c r="A15" s="14" t="s">
        <v>21</v>
      </c>
      <c r="B15" s="12"/>
      <c r="C15" s="15">
        <f ca="1">(C7+C11)+(C8+C12)*INT(MAX(F21:F3533))</f>
        <v>59332.554274885311</v>
      </c>
      <c r="E15" s="46" t="s">
        <v>44</v>
      </c>
      <c r="F15" s="49">
        <f ca="1">ROUND(2*($F$14-$C$7)/$C$8,0)/2+$F$13</f>
        <v>12735.5</v>
      </c>
    </row>
    <row r="16" spans="1:6" ht="12.95" customHeight="1" x14ac:dyDescent="0.2">
      <c r="A16" s="17" t="s">
        <v>8</v>
      </c>
      <c r="B16" s="12"/>
      <c r="C16" s="18">
        <f ca="1">+C8+C12</f>
        <v>0.94427947810805313</v>
      </c>
      <c r="E16" s="46" t="s">
        <v>35</v>
      </c>
      <c r="F16" s="49">
        <f ca="1">ROUND(2*($F$14-$C$15)/$C$16,0)/2+$F$13</f>
        <v>1264.5</v>
      </c>
    </row>
    <row r="17" spans="1:19" ht="12.95" customHeight="1" thickBot="1" x14ac:dyDescent="0.25">
      <c r="A17" s="16" t="s">
        <v>31</v>
      </c>
      <c r="B17" s="12"/>
      <c r="C17" s="12">
        <f>COUNT(C21:C2191)</f>
        <v>11</v>
      </c>
      <c r="E17" s="46" t="s">
        <v>48</v>
      </c>
      <c r="F17" s="52">
        <f ca="1">+$C$15+$C$16*$F$16-15018.5-$C$5/24</f>
        <v>45508.491508286279</v>
      </c>
    </row>
    <row r="18" spans="1:19" ht="12.95" customHeight="1" thickTop="1" thickBot="1" x14ac:dyDescent="0.25">
      <c r="A18" s="17" t="s">
        <v>9</v>
      </c>
      <c r="B18" s="12"/>
      <c r="C18" s="20">
        <f ca="1">+C15</f>
        <v>59332.554274885311</v>
      </c>
      <c r="D18" s="21">
        <f ca="1">+C16</f>
        <v>0.94427947810805313</v>
      </c>
      <c r="E18" s="47" t="s">
        <v>49</v>
      </c>
      <c r="F18" s="53">
        <f ca="1">+($C$15+$C$16*$F$16)-($C$16/2)-15018.5-$C$5/24</f>
        <v>45508.019368547226</v>
      </c>
    </row>
    <row r="19" spans="1:19" ht="12.95" customHeight="1" thickTop="1" x14ac:dyDescent="0.2">
      <c r="E19" s="16"/>
      <c r="F19" s="19"/>
    </row>
    <row r="20" spans="1:19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52</v>
      </c>
      <c r="J20" s="7" t="s">
        <v>53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55"/>
      <c r="S20" s="56" t="s">
        <v>54</v>
      </c>
    </row>
    <row r="21" spans="1:19" ht="12.95" customHeight="1" x14ac:dyDescent="0.2">
      <c r="A21" s="54" t="s">
        <v>52</v>
      </c>
      <c r="C21" s="10">
        <v>48500.718000000001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6.3815078325443475E-3</v>
      </c>
      <c r="Q21" s="2">
        <f>+C21-15018.5</f>
        <v>33482.218000000001</v>
      </c>
    </row>
    <row r="22" spans="1:19" ht="12.95" customHeight="1" x14ac:dyDescent="0.2">
      <c r="A22" s="29" t="s">
        <v>38</v>
      </c>
      <c r="B22" s="28" t="s">
        <v>37</v>
      </c>
      <c r="C22" s="29">
        <v>52500.6967</v>
      </c>
      <c r="D22" s="27"/>
      <c r="E22">
        <f>+(C22-C$7)/C$8</f>
        <v>4235.9194112040659</v>
      </c>
      <c r="F22">
        <f>ROUND(2*E22,0)/2</f>
        <v>4236</v>
      </c>
      <c r="G22">
        <f>+C22-(C$7+F22*C$8)</f>
        <v>-7.609999999840511E-2</v>
      </c>
      <c r="H22">
        <f>+G22</f>
        <v>-7.609999999840511E-2</v>
      </c>
      <c r="O22">
        <f ca="1">+C$11+C$12*$F22</f>
        <v>-8.0549226454494818E-2</v>
      </c>
      <c r="Q22" s="2">
        <f>+C22-15018.5</f>
        <v>37482.1967</v>
      </c>
    </row>
    <row r="23" spans="1:19" ht="12.95" customHeight="1" x14ac:dyDescent="0.2">
      <c r="A23" s="30" t="s">
        <v>42</v>
      </c>
      <c r="B23" s="28" t="s">
        <v>37</v>
      </c>
      <c r="C23" s="29">
        <v>53466.694300000003</v>
      </c>
      <c r="D23" s="29">
        <v>5.0000000000000001E-4</v>
      </c>
      <c r="E23">
        <f>+(C23-C$7)/C$8</f>
        <v>5258.8968548130915</v>
      </c>
      <c r="F23">
        <f>ROUND(2*E23,0)/2</f>
        <v>5259</v>
      </c>
      <c r="G23">
        <f>+C23-(C$7+F23*C$8)</f>
        <v>-9.7399999998742715E-2</v>
      </c>
      <c r="K23">
        <f>+G23</f>
        <v>-9.7399999998742715E-2</v>
      </c>
      <c r="O23">
        <f ca="1">+C$11+C$12*$F23</f>
        <v>-0.10154312191616646</v>
      </c>
      <c r="Q23" s="2">
        <f>+C23-15018.5</f>
        <v>38448.194300000003</v>
      </c>
    </row>
    <row r="24" spans="1:19" ht="12.95" customHeight="1" x14ac:dyDescent="0.2">
      <c r="A24" s="30" t="s">
        <v>42</v>
      </c>
      <c r="B24" s="28" t="s">
        <v>37</v>
      </c>
      <c r="C24" s="29">
        <v>53468.580800000003</v>
      </c>
      <c r="D24" s="29">
        <v>8.9999999999999998E-4</v>
      </c>
      <c r="E24">
        <f>+(C24-C$7)/C$8</f>
        <v>5260.8946309435587</v>
      </c>
      <c r="F24">
        <f>ROUND(2*E24,0)/2</f>
        <v>5261</v>
      </c>
      <c r="G24">
        <f>+C24-(C$7+F24*C$8)</f>
        <v>-9.9499999996623956E-2</v>
      </c>
      <c r="K24">
        <f>+G24</f>
        <v>-9.9499999996623956E-2</v>
      </c>
      <c r="O24">
        <f ca="1">+C$11+C$12*$F24</f>
        <v>-0.10158416570006025</v>
      </c>
      <c r="Q24" s="2">
        <f>+C24-15018.5</f>
        <v>38450.080800000003</v>
      </c>
    </row>
    <row r="25" spans="1:19" ht="12.95" customHeight="1" x14ac:dyDescent="0.2">
      <c r="A25" s="31" t="s">
        <v>46</v>
      </c>
      <c r="B25" s="32" t="s">
        <v>37</v>
      </c>
      <c r="C25" s="33">
        <v>54981.315000000002</v>
      </c>
      <c r="D25" s="33">
        <v>0.01</v>
      </c>
      <c r="E25">
        <f>+(C25-C$7)/C$8</f>
        <v>6862.8582018426359</v>
      </c>
      <c r="F25">
        <f>ROUND(2*E25,0)/2</f>
        <v>6863</v>
      </c>
      <c r="G25">
        <f>+C25-(C$7+F25*C$8)</f>
        <v>-0.13390000000072177</v>
      </c>
      <c r="K25">
        <f>+G25</f>
        <v>-0.13390000000072177</v>
      </c>
      <c r="O25">
        <f ca="1">+C$11+C$12*$F25</f>
        <v>-0.13446023659898299</v>
      </c>
      <c r="Q25" s="2">
        <f>+C25-15018.5</f>
        <v>39962.815000000002</v>
      </c>
    </row>
    <row r="26" spans="1:19" ht="12.95" customHeight="1" x14ac:dyDescent="0.2">
      <c r="A26" s="31" t="s">
        <v>45</v>
      </c>
      <c r="B26" s="34" t="s">
        <v>37</v>
      </c>
      <c r="C26" s="35">
        <v>55388.302000000003</v>
      </c>
      <c r="D26" s="35">
        <v>0.01</v>
      </c>
      <c r="E26">
        <f>+(C26-C$7)/C$8</f>
        <v>7293.8515302340384</v>
      </c>
      <c r="F26">
        <f>ROUND(2*E26,0)/2</f>
        <v>7294</v>
      </c>
      <c r="G26">
        <f>+C26-(C$7+F26*C$8)</f>
        <v>-0.14020000000164146</v>
      </c>
      <c r="K26">
        <f>+G26</f>
        <v>-0.14020000000164146</v>
      </c>
      <c r="O26">
        <f ca="1">+C$11+C$12*$F26</f>
        <v>-0.14330517202809392</v>
      </c>
      <c r="Q26" s="2">
        <f>+C26-15018.5</f>
        <v>40369.802000000003</v>
      </c>
    </row>
    <row r="27" spans="1:19" ht="12.95" customHeight="1" x14ac:dyDescent="0.2">
      <c r="A27" s="36" t="s">
        <v>1</v>
      </c>
      <c r="B27" s="37" t="s">
        <v>37</v>
      </c>
      <c r="C27" s="38">
        <v>57485.538999999997</v>
      </c>
      <c r="D27" s="39">
        <v>3.0000000000000001E-3</v>
      </c>
      <c r="E27">
        <f>+(C27-C$7)/C$8</f>
        <v>9514.7950863073129</v>
      </c>
      <c r="F27">
        <f>ROUND(2*E27,0)/2</f>
        <v>9515</v>
      </c>
      <c r="G27">
        <f>+C27-(C$7+F27*C$8)</f>
        <v>-0.19350000000122236</v>
      </c>
      <c r="K27">
        <f>+G27</f>
        <v>-0.19350000000122236</v>
      </c>
      <c r="O27">
        <f ca="1">+C$11+C$12*$F27</f>
        <v>-0.18888429404214349</v>
      </c>
      <c r="Q27" s="2">
        <f>+C27-15018.5</f>
        <v>42467.038999999997</v>
      </c>
    </row>
    <row r="28" spans="1:19" x14ac:dyDescent="0.2">
      <c r="A28" s="36" t="s">
        <v>1</v>
      </c>
      <c r="B28" s="37" t="s">
        <v>2</v>
      </c>
      <c r="C28" s="38">
        <v>57494.514000000003</v>
      </c>
      <c r="D28" s="39">
        <v>0.01</v>
      </c>
      <c r="E28">
        <f>+(C28-C$7)/C$8</f>
        <v>9524.2994810971104</v>
      </c>
      <c r="F28">
        <f>ROUND(2*E28,0)/2</f>
        <v>9524.5</v>
      </c>
      <c r="G28">
        <f>+C28-(C$7+F28*C$8)</f>
        <v>-0.18935000000055879</v>
      </c>
      <c r="K28">
        <f>+G28</f>
        <v>-0.18935000000055879</v>
      </c>
      <c r="O28">
        <f ca="1">+C$11+C$12*$F28</f>
        <v>-0.18907925201563899</v>
      </c>
      <c r="Q28" s="2">
        <f>+C28-15018.5</f>
        <v>42476.014000000003</v>
      </c>
    </row>
    <row r="29" spans="1:19" x14ac:dyDescent="0.2">
      <c r="A29" s="40" t="s">
        <v>0</v>
      </c>
      <c r="B29" s="41" t="s">
        <v>37</v>
      </c>
      <c r="C29" s="40">
        <v>58206.970900000073</v>
      </c>
      <c r="D29" s="40" t="s">
        <v>17</v>
      </c>
      <c r="E29">
        <f>+(C29-C$7)/C$8</f>
        <v>10278.781001800351</v>
      </c>
      <c r="F29">
        <f>ROUND(2*E29,0)/2</f>
        <v>10279</v>
      </c>
      <c r="G29">
        <f>+C29-(C$7+F29*C$8)</f>
        <v>-0.20679999992717057</v>
      </c>
      <c r="J29">
        <f>+G29</f>
        <v>-0.20679999992717057</v>
      </c>
      <c r="O29">
        <f ca="1">+C$11+C$12*$F29</f>
        <v>-0.20456301948956981</v>
      </c>
      <c r="Q29" s="2">
        <f>+C29-15018.5</f>
        <v>43188.470900000073</v>
      </c>
    </row>
    <row r="30" spans="1:19" x14ac:dyDescent="0.2">
      <c r="A30" s="40" t="s">
        <v>0</v>
      </c>
      <c r="B30" s="41" t="s">
        <v>37</v>
      </c>
      <c r="C30" s="40">
        <v>58206.972300000023</v>
      </c>
      <c r="D30" s="40" t="s">
        <v>17</v>
      </c>
      <c r="E30">
        <f>+(C30-C$7)/C$8</f>
        <v>10278.782484379988</v>
      </c>
      <c r="F30">
        <f>ROUND(2*E30,0)/2</f>
        <v>10279</v>
      </c>
      <c r="G30">
        <f>+C30-(C$7+F30*C$8)</f>
        <v>-0.20539999997708946</v>
      </c>
      <c r="J30">
        <f>+G30</f>
        <v>-0.20539999997708946</v>
      </c>
      <c r="O30">
        <f ca="1">+C$11+C$12*$F30</f>
        <v>-0.20456301948956981</v>
      </c>
      <c r="Q30" s="2">
        <f>+C30-15018.5</f>
        <v>43188.472300000023</v>
      </c>
    </row>
    <row r="31" spans="1:19" x14ac:dyDescent="0.2">
      <c r="A31" s="42" t="s">
        <v>47</v>
      </c>
      <c r="B31" s="43" t="s">
        <v>37</v>
      </c>
      <c r="C31" s="44">
        <v>59333.487999999896</v>
      </c>
      <c r="D31" s="45">
        <v>0.01</v>
      </c>
      <c r="E31">
        <f>+(C31-C$7)/C$8</f>
        <v>11471.746267076029</v>
      </c>
      <c r="F31">
        <f>ROUND(2*E31,0)/2</f>
        <v>11471.5</v>
      </c>
      <c r="O31">
        <f ca="1">+C$11+C$12*$F31</f>
        <v>-0.22903537563623985</v>
      </c>
      <c r="Q31" s="2">
        <f>+C31-15018.5</f>
        <v>44314.987999999896</v>
      </c>
      <c r="S31">
        <f>+C31-(C$7+F31*C$8)</f>
        <v>0.23254999989876524</v>
      </c>
    </row>
    <row r="32" spans="1:19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W38">
    <sortCondition ref="C21:C38"/>
  </sortState>
  <phoneticPr fontId="8" type="noConversion"/>
  <hyperlinks>
    <hyperlink ref="H1259" r:id="rId1" display="http://vsolj.cetus-net.org/bulletin.html" xr:uid="{00000000-0004-0000-0000-000000000000}"/>
    <hyperlink ref="H64454" r:id="rId2" display="http://vsolj.cetus-net.org/bulletin.html" xr:uid="{00000000-0004-0000-0000-000001000000}"/>
    <hyperlink ref="H64447" r:id="rId3" display="https://www.aavso.org/ejaavso" xr:uid="{00000000-0004-0000-0000-000002000000}"/>
    <hyperlink ref="I64454" r:id="rId4" display="http://vsolj.cetus-net.org/bulletin.html" xr:uid="{00000000-0004-0000-0000-000003000000}"/>
    <hyperlink ref="AQ58105" r:id="rId5" display="http://cdsbib.u-strasbg.fr/cgi-bin/cdsbib?1990RMxAA..21..381G" xr:uid="{00000000-0004-0000-0000-000004000000}"/>
    <hyperlink ref="H64451" r:id="rId6" display="https://www.aavso.org/ejaavso" xr:uid="{00000000-0004-0000-0000-000005000000}"/>
    <hyperlink ref="AP5469" r:id="rId7" display="http://cdsbib.u-strasbg.fr/cgi-bin/cdsbib?1990RMxAA..21..381G" xr:uid="{00000000-0004-0000-0000-000006000000}"/>
    <hyperlink ref="AP5472" r:id="rId8" display="http://cdsbib.u-strasbg.fr/cgi-bin/cdsbib?1990RMxAA..21..381G" xr:uid="{00000000-0004-0000-0000-000007000000}"/>
    <hyperlink ref="AP5470" r:id="rId9" display="http://cdsbib.u-strasbg.fr/cgi-bin/cdsbib?1990RMxAA..21..381G" xr:uid="{00000000-0004-0000-0000-000008000000}"/>
    <hyperlink ref="AP5454" r:id="rId10" display="http://cdsbib.u-strasbg.fr/cgi-bin/cdsbib?1990RMxAA..21..381G" xr:uid="{00000000-0004-0000-0000-000009000000}"/>
    <hyperlink ref="AQ5683" r:id="rId11" display="http://cdsbib.u-strasbg.fr/cgi-bin/cdsbib?1990RMxAA..21..381G" xr:uid="{00000000-0004-0000-0000-00000A000000}"/>
    <hyperlink ref="AQ5687" r:id="rId12" display="http://cdsbib.u-strasbg.fr/cgi-bin/cdsbib?1990RMxAA..21..381G" xr:uid="{00000000-0004-0000-0000-00000B000000}"/>
    <hyperlink ref="AQ65367" r:id="rId13" display="http://cdsbib.u-strasbg.fr/cgi-bin/cdsbib?1990RMxAA..21..381G" xr:uid="{00000000-0004-0000-0000-00000C000000}"/>
    <hyperlink ref="I2575" r:id="rId14" display="http://vsolj.cetus-net.org/bulletin.html" xr:uid="{00000000-0004-0000-0000-00000D000000}"/>
    <hyperlink ref="H2575" r:id="rId15" display="http://vsolj.cetus-net.org/bulletin.html" xr:uid="{00000000-0004-0000-0000-00000E000000}"/>
    <hyperlink ref="AQ492" r:id="rId16" display="http://cdsbib.u-strasbg.fr/cgi-bin/cdsbib?1990RMxAA..21..381G" xr:uid="{00000000-0004-0000-0000-00000F000000}"/>
    <hyperlink ref="AQ491" r:id="rId17" display="http://cdsbib.u-strasbg.fr/cgi-bin/cdsbib?1990RMxAA..21..381G" xr:uid="{00000000-0004-0000-0000-000010000000}"/>
    <hyperlink ref="AP3745" r:id="rId18" display="http://cdsbib.u-strasbg.fr/cgi-bin/cdsbib?1990RMxAA..21..381G" xr:uid="{00000000-0004-0000-0000-000011000000}"/>
    <hyperlink ref="AP3763" r:id="rId19" display="http://cdsbib.u-strasbg.fr/cgi-bin/cdsbib?1990RMxAA..21..381G" xr:uid="{00000000-0004-0000-0000-000012000000}"/>
    <hyperlink ref="AP3764" r:id="rId20" display="http://cdsbib.u-strasbg.fr/cgi-bin/cdsbib?1990RMxAA..21..381G" xr:uid="{00000000-0004-0000-0000-000013000000}"/>
    <hyperlink ref="AP376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2024-08-03T06:43:56Z</dcterms:modified>
</cp:coreProperties>
</file>