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541ED62-148D-46FA-990A-B4B8DCB32D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4" i="1" l="1"/>
  <c r="Q25" i="1"/>
  <c r="C7" i="1"/>
  <c r="E25" i="1"/>
  <c r="F25" i="1"/>
  <c r="E21" i="1"/>
  <c r="F21" i="1"/>
  <c r="G21" i="1" s="1"/>
  <c r="H21" i="1" s="1"/>
  <c r="E23" i="1"/>
  <c r="F23" i="1"/>
  <c r="G23" i="1" s="1"/>
  <c r="J23" i="1" s="1"/>
  <c r="E22" i="1"/>
  <c r="F22" i="1"/>
  <c r="G22" i="1" s="1"/>
  <c r="H22" i="1" s="1"/>
  <c r="C9" i="1"/>
  <c r="D9" i="1"/>
  <c r="Q21" i="1"/>
  <c r="Q23" i="1"/>
  <c r="G13" i="2"/>
  <c r="C13" i="2"/>
  <c r="E13" i="2"/>
  <c r="G12" i="2"/>
  <c r="C12" i="2"/>
  <c r="E12" i="2"/>
  <c r="G11" i="2"/>
  <c r="C11" i="2"/>
  <c r="E11" i="2"/>
  <c r="H13" i="2"/>
  <c r="D13" i="2"/>
  <c r="B13" i="2"/>
  <c r="A13" i="2"/>
  <c r="H12" i="2"/>
  <c r="B12" i="2"/>
  <c r="D12" i="2"/>
  <c r="A12" i="2"/>
  <c r="H11" i="2"/>
  <c r="D11" i="2"/>
  <c r="B11" i="2"/>
  <c r="A11" i="2"/>
  <c r="Q24" i="1"/>
  <c r="C17" i="1"/>
  <c r="Q22" i="1"/>
  <c r="E24" i="1"/>
  <c r="F24" i="1"/>
  <c r="G24" i="1" s="1"/>
  <c r="J24" i="1" s="1"/>
  <c r="G25" i="1"/>
  <c r="K25" i="1" s="1"/>
  <c r="C11" i="1"/>
  <c r="C12" i="1"/>
  <c r="F15" i="1" l="1"/>
  <c r="C16" i="1"/>
  <c r="D18" i="1" s="1"/>
  <c r="O23" i="1"/>
  <c r="O25" i="1"/>
  <c r="C15" i="1"/>
  <c r="O21" i="1"/>
  <c r="O24" i="1"/>
  <c r="O22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<sst xmlns="http://schemas.openxmlformats.org/spreadsheetml/2006/main" count="93" uniqueCount="75">
  <si>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</si>
  <si>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</si>
  <si>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</si>
  <si>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</si>
  <si>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</si>
  <si>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</si>
  <si>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</si>
  <si>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</si>
  <si>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</si>
  <si>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</si>
  <si>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</si>
  <si>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</si>
  <si>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</si>
  <si>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</si>
  <si>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</si>
  <si>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</si>
  <si>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</si>
  <si>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</si>
  <si>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</si>
  <si>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</si>
  <si>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</si>
  <si>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</si>
  <si>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</si>
  <si>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</si>
  <si>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</si>
  <si>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</si>
  <si>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</si>
  <si>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</si>
  <si>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</si>
  <si>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</si>
  <si>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</si>
  <si>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</si>
  <si>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</si>
  <si>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</si>
  <si>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</si>
  <si>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</si>
  <si>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Z Crt / GSC 6091-0110</t>
  </si>
  <si>
    <t>EA/SD:</t>
  </si>
  <si>
    <t>OEJV 116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</si>
  <si>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</si>
  <si>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</si>
  <si>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</si>
  <si>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</si>
  <si>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</si>
  <si>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</si>
  <si>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</si>
  <si>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</si>
  <si>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</si>
  <si>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</si>
  <si>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</si>
  <si>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</si>
  <si>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</si>
  <si>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2427507.47 </t>
  </si>
  <si>
    <t> 10.03.1934 23:16 </t>
  </si>
  <si>
    <t> 0.00 </t>
  </si>
  <si>
    <t> W.Zessewitsch </t>
  </si>
  <si>
    <t> IODE 4.1.239 </t>
  </si>
  <si>
    <t>2431206.343 </t>
  </si>
  <si>
    <t> 25.04.1944 20:13 </t>
  </si>
  <si>
    <t> 0.018 </t>
  </si>
  <si>
    <t>V </t>
  </si>
  <si>
    <t> IODE 4.1.240 </t>
  </si>
  <si>
    <t>2454965.0060 </t>
  </si>
  <si>
    <t> 13.05.2009 12:08 </t>
  </si>
  <si>
    <t> -0.0802 </t>
  </si>
  <si>
    <t>C </t>
  </si>
  <si>
    <t> K.Nakajima </t>
  </si>
  <si>
    <t>VSB 50 </t>
  </si>
  <si>
    <t>JAVSO..48..256</t>
  </si>
  <si>
    <t xml:space="preserve">Mag </t>
  </si>
  <si>
    <t>Next ToM-P</t>
  </si>
  <si>
    <t>Next ToM-S</t>
  </si>
  <si>
    <t>VSX</t>
  </si>
  <si>
    <t>11.22-13.10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</si>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</sst>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"/>
    <numFmt numFmtId="166" formatCode="0.00000"/>
  </numFmts>
  <fonts count="2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20" fillId="0" borderId="2" applyNumberFormat="0" applyFont="0" applyFill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1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6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6" fillId="2" borderId="12" xfId="7" applyFill="1" applyBorder="1" applyAlignment="1" applyProtection="1">
      <alignment horizontal="right" vertical="top" wrapText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>
      <alignment vertical="top"/>
    </xf>
    <xf numFmtId="0" fontId="18" fillId="0" borderId="0" xfId="0" applyFont="1" applyAlignment="1">
      <alignment horizontal="center" vertical="top"/>
    </xf>
    <xf numFmtId="165" fontId="18" fillId="0" borderId="0" xfId="0" applyNumberFormat="1" applyFont="1" applyAlignment="1">
      <alignment horizontal="left" vertical="top"/>
    </xf>
    <xf numFmtId="0" fontId="19" fillId="0" borderId="0" xfId="8" applyFont="1"/>
    <xf numFmtId="0" fontId="19" fillId="0" borderId="0" xfId="8" applyFont="1" applyAlignment="1">
      <alignment horizontal="center"/>
    </xf>
    <xf numFmtId="0" fontId="19" fillId="0" borderId="0" xfId="8" applyFont="1" applyAlignment="1">
      <alignment horizontal="left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66" fontId="21" fillId="0" borderId="0" xfId="0" applyNumberFormat="1" applyFont="1" applyAlignment="1">
      <alignment vertical="center" wrapText="1"/>
    </xf>
    <xf numFmtId="0" fontId="22" fillId="0" borderId="15" xfId="0" applyFont="1" applyBorder="1" applyAlignment="1">
      <alignment horizontal="right" vertical="center"/>
    </xf>
    <xf numFmtId="0" fontId="22" fillId="0" borderId="18" xfId="0" applyFont="1" applyBorder="1" applyAlignment="1">
      <alignment horizontal="right" vertical="center"/>
    </xf>
    <xf numFmtId="0" fontId="14" fillId="3" borderId="13" xfId="0" applyFont="1" applyFill="1" applyBorder="1" applyAlignment="1">
      <alignment horizontal="right" vertical="center"/>
    </xf>
    <xf numFmtId="0" fontId="23" fillId="0" borderId="16" xfId="0" applyFont="1" applyBorder="1" applyAlignment="1">
      <alignment horizontal="right" vertical="center"/>
    </xf>
    <xf numFmtId="22" fontId="23" fillId="0" borderId="16" xfId="0" applyNumberFormat="1" applyFont="1" applyBorder="1" applyAlignment="1">
      <alignment horizontal="right" vertical="center"/>
    </xf>
    <xf numFmtId="22" fontId="23" fillId="0" borderId="17" xfId="0" applyNumberFormat="1" applyFont="1" applyBorder="1" applyAlignment="1">
      <alignment horizontal="right" vertical="center"/>
    </xf>
    <xf numFmtId="0" fontId="24" fillId="0" borderId="16" xfId="0" applyFont="1" applyBorder="1" applyAlignment="1">
      <alignment horizontal="right" vertical="center"/>
    </xf>
    <xf numFmtId="0" fontId="14" fillId="3" borderId="14" xfId="0" applyFont="1" applyFill="1" applyBorder="1" applyAlignment="1">
      <alignment horizontal="center" vertical="center"/>
    </xf>
    <xf numFmtId="0" fontId="14" fillId="0" borderId="0" xfId="0" applyFont="1" applyAlignment="1"/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Z Crt - O-C Diagr.</a:t>
            </a:r>
          </a:p>
        </c:rich>
      </c:tx>
      <c:layout>
        <c:manualLayout>
          <c:xMode val="edge"/>
          <c:yMode val="edge"/>
          <c:x val="0.4015037593984962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0.01</c:v>
                  </c:pt>
                  <c:pt idx="4">
                    <c:v>1.4E-3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0.01</c:v>
                  </c:pt>
                  <c:pt idx="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-1212</c:v>
                </c:pt>
                <c:pt idx="1">
                  <c:v>0</c:v>
                </c:pt>
                <c:pt idx="2">
                  <c:v>7785</c:v>
                </c:pt>
                <c:pt idx="3">
                  <c:v>7791</c:v>
                </c:pt>
                <c:pt idx="4">
                  <c:v>9092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-5.5280000015045516E-3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C1-463B-9DD1-B384F98B32C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0.01</c:v>
                  </c:pt>
                  <c:pt idx="4">
                    <c:v>1.4E-3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0.01</c:v>
                  </c:pt>
                  <c:pt idx="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-1212</c:v>
                </c:pt>
                <c:pt idx="1">
                  <c:v>0</c:v>
                </c:pt>
                <c:pt idx="2">
                  <c:v>7785</c:v>
                </c:pt>
                <c:pt idx="3">
                  <c:v>7791</c:v>
                </c:pt>
                <c:pt idx="4">
                  <c:v>9092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C1-463B-9DD1-B384F98B32C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0.01</c:v>
                  </c:pt>
                  <c:pt idx="4">
                    <c:v>1.4E-3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0.01</c:v>
                  </c:pt>
                  <c:pt idx="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-1212</c:v>
                </c:pt>
                <c:pt idx="1">
                  <c:v>0</c:v>
                </c:pt>
                <c:pt idx="2">
                  <c:v>7785</c:v>
                </c:pt>
                <c:pt idx="3">
                  <c:v>7791</c:v>
                </c:pt>
                <c:pt idx="4">
                  <c:v>9092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2">
                  <c:v>-1.795999999740161E-2</c:v>
                </c:pt>
                <c:pt idx="3">
                  <c:v>-2.1095999996759929E-2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C1-463B-9DD1-B384F98B32C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0.01</c:v>
                  </c:pt>
                  <c:pt idx="4">
                    <c:v>1.4E-3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0.01</c:v>
                  </c:pt>
                  <c:pt idx="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-1212</c:v>
                </c:pt>
                <c:pt idx="1">
                  <c:v>0</c:v>
                </c:pt>
                <c:pt idx="2">
                  <c:v>7785</c:v>
                </c:pt>
                <c:pt idx="3">
                  <c:v>7791</c:v>
                </c:pt>
                <c:pt idx="4">
                  <c:v>9092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4">
                  <c:v>2.064799999789102E-2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C1-463B-9DD1-B384F98B32C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0.01</c:v>
                  </c:pt>
                  <c:pt idx="4">
                    <c:v>1.4E-3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0.01</c:v>
                  </c:pt>
                  <c:pt idx="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-1212</c:v>
                </c:pt>
                <c:pt idx="1">
                  <c:v>0</c:v>
                </c:pt>
                <c:pt idx="2">
                  <c:v>7785</c:v>
                </c:pt>
                <c:pt idx="3">
                  <c:v>7791</c:v>
                </c:pt>
                <c:pt idx="4">
                  <c:v>9092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EC1-463B-9DD1-B384F98B32C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0.01</c:v>
                  </c:pt>
                  <c:pt idx="4">
                    <c:v>1.4E-3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0.01</c:v>
                  </c:pt>
                  <c:pt idx="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-1212</c:v>
                </c:pt>
                <c:pt idx="1">
                  <c:v>0</c:v>
                </c:pt>
                <c:pt idx="2">
                  <c:v>7785</c:v>
                </c:pt>
                <c:pt idx="3">
                  <c:v>7791</c:v>
                </c:pt>
                <c:pt idx="4">
                  <c:v>9092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EC1-463B-9DD1-B384F98B32C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0.01</c:v>
                  </c:pt>
                  <c:pt idx="4">
                    <c:v>1.4E-3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0.01</c:v>
                  </c:pt>
                  <c:pt idx="4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-1212</c:v>
                </c:pt>
                <c:pt idx="1">
                  <c:v>0</c:v>
                </c:pt>
                <c:pt idx="2">
                  <c:v>7785</c:v>
                </c:pt>
                <c:pt idx="3">
                  <c:v>7791</c:v>
                </c:pt>
                <c:pt idx="4">
                  <c:v>9092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EC1-463B-9DD1-B384F98B32C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-1212</c:v>
                </c:pt>
                <c:pt idx="1">
                  <c:v>0</c:v>
                </c:pt>
                <c:pt idx="2">
                  <c:v>7785</c:v>
                </c:pt>
                <c:pt idx="3">
                  <c:v>7791</c:v>
                </c:pt>
                <c:pt idx="4">
                  <c:v>9092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-4.9445265834650119E-3</c:v>
                </c:pt>
                <c:pt idx="1">
                  <c:v>-4.9122254891942911E-3</c:v>
                </c:pt>
                <c:pt idx="2">
                  <c:v>-4.7047469257474614E-3</c:v>
                </c:pt>
                <c:pt idx="3">
                  <c:v>-4.7045870193401802E-3</c:v>
                </c:pt>
                <c:pt idx="4">
                  <c:v>-4.6699139800281285E-3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EC1-463B-9DD1-B384F98B3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2342160"/>
        <c:axId val="1"/>
      </c:scatterChart>
      <c:valAx>
        <c:axId val="612342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2342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413533834586466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17</xdr:col>
      <xdr:colOff>209550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7700646-4C7A-35FE-83A5-0E80977891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vsolj.cetus-net.org/vsoljno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39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4257812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36</v>
      </c>
    </row>
    <row r="2" spans="1:6" x14ac:dyDescent="0.2">
      <c r="A2" t="s">
        <v>24</v>
      </c>
      <c r="B2" s="27" t="s">
        <v>37</v>
      </c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31206.325000000001</v>
      </c>
      <c r="D4" s="9">
        <v>3.0518640000000001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  <c r="E5" s="12"/>
    </row>
    <row r="6" spans="1:6" x14ac:dyDescent="0.2">
      <c r="A6" s="5" t="s">
        <v>1</v>
      </c>
    </row>
    <row r="7" spans="1:6" x14ac:dyDescent="0.2">
      <c r="A7" t="s">
        <v>2</v>
      </c>
      <c r="C7">
        <f>+C4</f>
        <v>31206.325000000001</v>
      </c>
      <c r="D7" s="61" t="s">
        <v>72</v>
      </c>
    </row>
    <row r="8" spans="1:6" x14ac:dyDescent="0.2">
      <c r="A8" t="s">
        <v>3</v>
      </c>
      <c r="C8">
        <v>3.0518559999999999</v>
      </c>
      <c r="D8" s="61" t="s">
        <v>72</v>
      </c>
    </row>
    <row r="9" spans="1:6" x14ac:dyDescent="0.2">
      <c r="A9" s="25" t="s">
        <v>32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2">
        <f ca="1">INTERCEPT(INDIRECT($D$9):G991,INDIRECT($C$9):F991)</f>
        <v>-4.9122254891942911E-3</v>
      </c>
      <c r="D11" s="3"/>
      <c r="E11" s="12"/>
    </row>
    <row r="12" spans="1:6" x14ac:dyDescent="0.2">
      <c r="A12" s="12" t="s">
        <v>17</v>
      </c>
      <c r="B12" s="12"/>
      <c r="C12" s="22">
        <f ca="1">SLOPE(INDIRECT($D$9):G991,INDIRECT($C$9):F991)</f>
        <v>2.6651067880132311E-8</v>
      </c>
      <c r="D12" s="3"/>
      <c r="E12" s="55" t="s">
        <v>69</v>
      </c>
      <c r="F12" s="60" t="s">
        <v>73</v>
      </c>
    </row>
    <row r="13" spans="1:6" x14ac:dyDescent="0.2">
      <c r="A13" s="12" t="s">
        <v>19</v>
      </c>
      <c r="B13" s="12"/>
      <c r="C13" s="3" t="s">
        <v>14</v>
      </c>
      <c r="E13" s="53" t="s">
        <v>33</v>
      </c>
      <c r="F13" s="59">
        <v>1</v>
      </c>
    </row>
    <row r="14" spans="1:6" x14ac:dyDescent="0.2">
      <c r="A14" s="12"/>
      <c r="B14" s="12"/>
      <c r="C14" s="12"/>
      <c r="E14" s="53" t="s">
        <v>31</v>
      </c>
      <c r="F14" s="56">
        <f ca="1">NOW()+15018.5+$C$5/24</f>
        <v>60525.789301504628</v>
      </c>
    </row>
    <row r="15" spans="1:6" x14ac:dyDescent="0.2">
      <c r="A15" s="14" t="s">
        <v>18</v>
      </c>
      <c r="B15" s="12"/>
      <c r="C15" s="15">
        <f ca="1">(C7+C11)+(C8+C12)*INT(MAX(F21:F3532))</f>
        <v>58953.795082086021</v>
      </c>
      <c r="E15" s="53" t="s">
        <v>34</v>
      </c>
      <c r="F15" s="56">
        <f ca="1">ROUND(2*($F$14-$C$7)/$C$8,0)/2+$F$13</f>
        <v>9608</v>
      </c>
    </row>
    <row r="16" spans="1:6" x14ac:dyDescent="0.2">
      <c r="A16" s="17" t="s">
        <v>4</v>
      </c>
      <c r="B16" s="12"/>
      <c r="C16" s="18">
        <f ca="1">+C8+C12</f>
        <v>3.0518560266510679</v>
      </c>
      <c r="E16" s="53" t="s">
        <v>35</v>
      </c>
      <c r="F16" s="56">
        <f ca="1">ROUND(2*($F$14-$C$15)/$C$16,0)/2+$F$13</f>
        <v>516</v>
      </c>
    </row>
    <row r="17" spans="1:17" ht="13.5" thickBot="1" x14ac:dyDescent="0.25">
      <c r="A17" s="16" t="s">
        <v>28</v>
      </c>
      <c r="B17" s="12"/>
      <c r="C17" s="12">
        <f>COUNT(C21:C2190)</f>
        <v>5</v>
      </c>
      <c r="E17" s="53" t="s">
        <v>70</v>
      </c>
      <c r="F17" s="57">
        <f ca="1">+$C$15+$C$16*$F$16-15018.5-$C$5/24</f>
        <v>45510.44862517131</v>
      </c>
    </row>
    <row r="18" spans="1:17" ht="14.25" thickTop="1" thickBot="1" x14ac:dyDescent="0.25">
      <c r="A18" s="17" t="s">
        <v>5</v>
      </c>
      <c r="B18" s="12"/>
      <c r="C18" s="20">
        <f ca="1">+C15</f>
        <v>58953.795082086021</v>
      </c>
      <c r="D18" s="21">
        <f ca="1">+C16</f>
        <v>3.0518560266510679</v>
      </c>
      <c r="E18" s="54" t="s">
        <v>71</v>
      </c>
      <c r="F18" s="58">
        <f ca="1">+($C$15+$C$16*$F$16)-($C$16/2)-15018.5-$C$5/24</f>
        <v>45508.922697157985</v>
      </c>
    </row>
    <row r="19" spans="1:17" ht="13.5" thickTop="1" x14ac:dyDescent="0.2">
      <c r="E19" s="16"/>
      <c r="F19" s="19"/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47</v>
      </c>
      <c r="I20" s="7" t="s">
        <v>50</v>
      </c>
      <c r="J20" s="7" t="s">
        <v>74</v>
      </c>
      <c r="K20" s="7" t="s">
        <v>42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</row>
    <row r="21" spans="1:17" x14ac:dyDescent="0.2">
      <c r="A21" s="41" t="s">
        <v>56</v>
      </c>
      <c r="B21" s="43" t="s">
        <v>39</v>
      </c>
      <c r="C21" s="42">
        <v>27507.47</v>
      </c>
      <c r="D21" s="42" t="s">
        <v>50</v>
      </c>
      <c r="E21">
        <f>+(C21-C$7)/C$8</f>
        <v>-1212.0018113567612</v>
      </c>
      <c r="F21">
        <f>ROUND(2*E21,0)/2</f>
        <v>-1212</v>
      </c>
      <c r="G21">
        <f>+C21-(C$7+F21*C$8)</f>
        <v>-5.5280000015045516E-3</v>
      </c>
      <c r="H21">
        <f>+G21</f>
        <v>-5.5280000015045516E-3</v>
      </c>
      <c r="O21">
        <f ca="1">+C$11+C$12*$F21</f>
        <v>-4.9445265834650119E-3</v>
      </c>
      <c r="Q21" s="2">
        <f>+C21-15018.5</f>
        <v>12488.970000000001</v>
      </c>
    </row>
    <row r="22" spans="1:17" x14ac:dyDescent="0.2">
      <c r="A22" t="s">
        <v>12</v>
      </c>
      <c r="C22" s="10">
        <v>31206.325000000001</v>
      </c>
      <c r="D22" s="10" t="s">
        <v>14</v>
      </c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-4.9122254891942911E-3</v>
      </c>
      <c r="Q22" s="2">
        <f>+C22-15018.5</f>
        <v>16187.825000000001</v>
      </c>
    </row>
    <row r="23" spans="1:17" x14ac:dyDescent="0.2">
      <c r="A23" s="41" t="s">
        <v>67</v>
      </c>
      <c r="B23" s="43" t="s">
        <v>39</v>
      </c>
      <c r="C23" s="42">
        <v>54965.006000000001</v>
      </c>
      <c r="D23" s="42" t="s">
        <v>50</v>
      </c>
      <c r="E23">
        <f>+(C23-C$7)/C$8</f>
        <v>7784.9941150565428</v>
      </c>
      <c r="F23">
        <f>ROUND(2*E23,0)/2</f>
        <v>7785</v>
      </c>
      <c r="G23">
        <f>+C23-(C$7+F23*C$8)</f>
        <v>-1.795999999740161E-2</v>
      </c>
      <c r="J23">
        <f>+G23</f>
        <v>-1.795999999740161E-2</v>
      </c>
      <c r="O23">
        <f ca="1">+C$11+C$12*$F23</f>
        <v>-4.7047469257474614E-3</v>
      </c>
      <c r="Q23" s="2">
        <f>+C23-15018.5</f>
        <v>39946.506000000001</v>
      </c>
    </row>
    <row r="24" spans="1:17" ht="12" customHeight="1" x14ac:dyDescent="0.2">
      <c r="A24" s="44" t="s">
        <v>38</v>
      </c>
      <c r="B24" s="45" t="s">
        <v>39</v>
      </c>
      <c r="C24" s="46">
        <v>54983.313999999998</v>
      </c>
      <c r="D24" s="46">
        <v>0.01</v>
      </c>
      <c r="E24">
        <f>+(C24-C$7)/C$8</f>
        <v>7790.9930874851234</v>
      </c>
      <c r="F24">
        <f>ROUND(2*E24,0)/2</f>
        <v>7791</v>
      </c>
      <c r="G24">
        <f>+C24-(C$7+F24*C$8)</f>
        <v>-2.1095999996759929E-2</v>
      </c>
      <c r="J24">
        <f>+G24</f>
        <v>-2.1095999996759929E-2</v>
      </c>
      <c r="O24">
        <f ca="1">+C$11+C$12*$F24</f>
        <v>-4.7045870193401802E-3</v>
      </c>
      <c r="Q24" s="2">
        <f>+C24-15018.5</f>
        <v>39964.813999999998</v>
      </c>
    </row>
    <row r="25" spans="1:17" ht="12" customHeight="1" x14ac:dyDescent="0.2">
      <c r="A25" s="47" t="s">
        <v>68</v>
      </c>
      <c r="B25" s="48" t="s">
        <v>39</v>
      </c>
      <c r="C25" s="49">
        <v>58953.820399999997</v>
      </c>
      <c r="D25" s="49">
        <v>1.4E-3</v>
      </c>
      <c r="E25">
        <f>+(C25-C$7)/C$8</f>
        <v>9092.0067657189575</v>
      </c>
      <c r="F25">
        <f>ROUND(2*E25,0)/2</f>
        <v>9092</v>
      </c>
      <c r="G25">
        <f>+C25-(C$7+F25*C$8)</f>
        <v>2.064799999789102E-2</v>
      </c>
      <c r="K25">
        <f>+G25</f>
        <v>2.064799999789102E-2</v>
      </c>
      <c r="O25">
        <f ca="1">+C$11+C$12*$F25</f>
        <v>-4.6699139800281285E-3</v>
      </c>
      <c r="Q25" s="2">
        <f>+C25-15018.5</f>
        <v>43935.320399999997</v>
      </c>
    </row>
    <row r="26" spans="1:17" ht="12" customHeight="1" x14ac:dyDescent="0.2">
      <c r="A26" s="50"/>
      <c r="B26" s="51"/>
      <c r="C26" s="52"/>
      <c r="D26" s="50"/>
      <c r="Q26" s="2"/>
    </row>
    <row r="27" spans="1:17" ht="12" customHeight="1" x14ac:dyDescent="0.2">
      <c r="C27" s="10"/>
      <c r="D27" s="10"/>
      <c r="Q27" s="2"/>
    </row>
    <row r="28" spans="1:17" ht="12" customHeight="1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rotectedRanges>
    <protectedRange sqref="A25:D25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22"/>
  <sheetViews>
    <sheetView workbookViewId="0">
      <selection activeCell="A11" sqref="A11:D13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28" t="s">
        <v>40</v>
      </c>
      <c r="I1" s="29" t="s">
        <v>41</v>
      </c>
      <c r="J1" s="30" t="s">
        <v>42</v>
      </c>
    </row>
    <row r="2" spans="1:16" x14ac:dyDescent="0.2">
      <c r="I2" s="31" t="s">
        <v>43</v>
      </c>
      <c r="J2" s="32" t="s">
        <v>44</v>
      </c>
    </row>
    <row r="3" spans="1:16" x14ac:dyDescent="0.2">
      <c r="A3" s="33" t="s">
        <v>45</v>
      </c>
      <c r="I3" s="31" t="s">
        <v>46</v>
      </c>
      <c r="J3" s="32" t="s">
        <v>47</v>
      </c>
    </row>
    <row r="4" spans="1:16" x14ac:dyDescent="0.2">
      <c r="I4" s="31" t="s">
        <v>48</v>
      </c>
      <c r="J4" s="32" t="s">
        <v>47</v>
      </c>
    </row>
    <row r="5" spans="1:16" ht="13.5" thickBot="1" x14ac:dyDescent="0.25">
      <c r="I5" s="34" t="s">
        <v>49</v>
      </c>
      <c r="J5" s="35" t="s">
        <v>50</v>
      </c>
    </row>
    <row r="10" spans="1:16" ht="13.5" thickBot="1" x14ac:dyDescent="0.25"/>
    <row r="11" spans="1:16" ht="12.75" customHeight="1" thickBot="1" x14ac:dyDescent="0.25">
      <c r="A11" s="10" t="str">
        <f>P11</f>
        <v> IODE 4.1.239 </v>
      </c>
      <c r="B11" s="3" t="str">
        <f>IF(H11=INT(H11),"I","II")</f>
        <v>I</v>
      </c>
      <c r="C11" s="10">
        <f>1*G11</f>
        <v>27507.47</v>
      </c>
      <c r="D11" s="12" t="str">
        <f>VLOOKUP(F11,I$1:J$5,2,FALSE)</f>
        <v>vis</v>
      </c>
      <c r="E11" s="36">
        <f>VLOOKUP(C11,Active!C$21:E$972,3,FALSE)</f>
        <v>-1212.0018113567612</v>
      </c>
      <c r="F11" s="3" t="s">
        <v>49</v>
      </c>
      <c r="G11" s="12" t="str">
        <f>MID(I11,3,LEN(I11)-3)</f>
        <v>27507.47</v>
      </c>
      <c r="H11" s="10">
        <f>1*K11</f>
        <v>-1212</v>
      </c>
      <c r="I11" s="37" t="s">
        <v>52</v>
      </c>
      <c r="J11" s="38" t="s">
        <v>53</v>
      </c>
      <c r="K11" s="37">
        <v>-1212</v>
      </c>
      <c r="L11" s="37" t="s">
        <v>54</v>
      </c>
      <c r="M11" s="38" t="s">
        <v>51</v>
      </c>
      <c r="N11" s="38"/>
      <c r="O11" s="39" t="s">
        <v>55</v>
      </c>
      <c r="P11" s="39" t="s">
        <v>56</v>
      </c>
    </row>
    <row r="12" spans="1:16" ht="12.75" customHeight="1" thickBot="1" x14ac:dyDescent="0.25">
      <c r="A12" s="10" t="str">
        <f>P12</f>
        <v> IODE 4.1.240 </v>
      </c>
      <c r="B12" s="3" t="str">
        <f>IF(H12=INT(H12),"I","II")</f>
        <v>I</v>
      </c>
      <c r="C12" s="10">
        <f>1*G12</f>
        <v>31206.343000000001</v>
      </c>
      <c r="D12" s="12" t="str">
        <f>VLOOKUP(F12,I$1:J$5,2,FALSE)</f>
        <v>vis</v>
      </c>
      <c r="E12" s="36" t="e">
        <f>VLOOKUP(C12,Active!C$21:E$972,3,FALSE)</f>
        <v>#N/A</v>
      </c>
      <c r="F12" s="3" t="s">
        <v>49</v>
      </c>
      <c r="G12" s="12" t="str">
        <f>MID(I12,3,LEN(I12)-3)</f>
        <v>31206.343</v>
      </c>
      <c r="H12" s="10">
        <f>1*K12</f>
        <v>0</v>
      </c>
      <c r="I12" s="37" t="s">
        <v>57</v>
      </c>
      <c r="J12" s="38" t="s">
        <v>58</v>
      </c>
      <c r="K12" s="37">
        <v>0</v>
      </c>
      <c r="L12" s="37" t="s">
        <v>59</v>
      </c>
      <c r="M12" s="38" t="s">
        <v>60</v>
      </c>
      <c r="N12" s="38"/>
      <c r="O12" s="39" t="s">
        <v>55</v>
      </c>
      <c r="P12" s="39" t="s">
        <v>61</v>
      </c>
    </row>
    <row r="13" spans="1:16" ht="12.75" customHeight="1" thickBot="1" x14ac:dyDescent="0.25">
      <c r="A13" s="10" t="str">
        <f>P13</f>
        <v>VSB 50 </v>
      </c>
      <c r="B13" s="3" t="str">
        <f>IF(H13=INT(H13),"I","II")</f>
        <v>I</v>
      </c>
      <c r="C13" s="10">
        <f>1*G13</f>
        <v>54965.006000000001</v>
      </c>
      <c r="D13" s="12" t="str">
        <f>VLOOKUP(F13,I$1:J$5,2,FALSE)</f>
        <v>vis</v>
      </c>
      <c r="E13" s="36">
        <f>VLOOKUP(C13,Active!C$21:E$972,3,FALSE)</f>
        <v>7784.9941150565428</v>
      </c>
      <c r="F13" s="3" t="s">
        <v>49</v>
      </c>
      <c r="G13" s="12" t="str">
        <f>MID(I13,3,LEN(I13)-3)</f>
        <v>54965.0060</v>
      </c>
      <c r="H13" s="10">
        <f>1*K13</f>
        <v>7785</v>
      </c>
      <c r="I13" s="37" t="s">
        <v>62</v>
      </c>
      <c r="J13" s="38" t="s">
        <v>63</v>
      </c>
      <c r="K13" s="37">
        <v>7785</v>
      </c>
      <c r="L13" s="37" t="s">
        <v>64</v>
      </c>
      <c r="M13" s="38" t="s">
        <v>65</v>
      </c>
      <c r="N13" s="38" t="s">
        <v>49</v>
      </c>
      <c r="O13" s="39" t="s">
        <v>66</v>
      </c>
      <c r="P13" s="40" t="s">
        <v>67</v>
      </c>
    </row>
    <row r="14" spans="1:16" x14ac:dyDescent="0.2">
      <c r="B14" s="3"/>
      <c r="F14" s="3"/>
    </row>
    <row r="15" spans="1:16" x14ac:dyDescent="0.2">
      <c r="B15" s="3"/>
      <c r="F15" s="3"/>
    </row>
    <row r="16" spans="1:16" x14ac:dyDescent="0.2">
      <c r="B16" s="3"/>
      <c r="F16" s="3"/>
    </row>
    <row r="17" spans="2:6" x14ac:dyDescent="0.2">
      <c r="B17" s="3"/>
      <c r="F17" s="3"/>
    </row>
    <row r="18" spans="2:6" x14ac:dyDescent="0.2">
      <c r="B18" s="3"/>
      <c r="F18" s="3"/>
    </row>
    <row r="19" spans="2:6" x14ac:dyDescent="0.2">
      <c r="B19" s="3"/>
      <c r="F19" s="3"/>
    </row>
    <row r="20" spans="2:6" x14ac:dyDescent="0.2">
      <c r="B20" s="3"/>
      <c r="F20" s="3"/>
    </row>
    <row r="21" spans="2:6" x14ac:dyDescent="0.2">
      <c r="B21" s="3"/>
      <c r="F21" s="3"/>
    </row>
    <row r="22" spans="2:6" x14ac:dyDescent="0.2">
      <c r="B22" s="3"/>
      <c r="F22" s="3"/>
    </row>
    <row r="23" spans="2:6" x14ac:dyDescent="0.2">
      <c r="B23" s="3"/>
      <c r="F23" s="3"/>
    </row>
    <row r="24" spans="2:6" x14ac:dyDescent="0.2">
      <c r="B24" s="3"/>
      <c r="F24" s="3"/>
    </row>
    <row r="25" spans="2:6" x14ac:dyDescent="0.2">
      <c r="B25" s="3"/>
      <c r="F25" s="3"/>
    </row>
    <row r="26" spans="2:6" x14ac:dyDescent="0.2">
      <c r="B26" s="3"/>
      <c r="F26" s="3"/>
    </row>
    <row r="27" spans="2:6" x14ac:dyDescent="0.2">
      <c r="B27" s="3"/>
      <c r="F27" s="3"/>
    </row>
    <row r="28" spans="2:6" x14ac:dyDescent="0.2">
      <c r="B28" s="3"/>
      <c r="F28" s="3"/>
    </row>
    <row r="29" spans="2:6" x14ac:dyDescent="0.2">
      <c r="B29" s="3"/>
      <c r="F29" s="3"/>
    </row>
    <row r="30" spans="2:6" x14ac:dyDescent="0.2">
      <c r="B30" s="3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</sheetData>
  <phoneticPr fontId="7" type="noConversion"/>
  <hyperlinks>
    <hyperlink ref="P13" r:id="rId1" display="http://vsolj.cetus-net.org/vsoljno50.pdf" xr:uid="{00000000-0004-0000-01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2024-08-03T06:56:35Z</dcterms:modified>
</cp:coreProperties>
</file>