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0561196-23DC-43E4-9E08-0D4E99E626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2" i="1"/>
  <c r="C17" i="1" s="1"/>
  <c r="A22" i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E26" i="1"/>
  <c r="F26" i="1"/>
  <c r="G26" i="1" s="1"/>
  <c r="I26" i="1" s="1"/>
  <c r="G11" i="1"/>
  <c r="F11" i="1"/>
  <c r="Q23" i="1"/>
  <c r="Q24" i="1"/>
  <c r="Q25" i="1"/>
  <c r="Q26" i="1"/>
  <c r="E21" i="1"/>
  <c r="F21" i="1"/>
  <c r="G21" i="1" s="1"/>
  <c r="H21" i="1" s="1"/>
  <c r="H20" i="1"/>
  <c r="F14" i="1"/>
  <c r="F15" i="1" s="1"/>
  <c r="Q21" i="1"/>
  <c r="C12" i="1"/>
  <c r="C16" i="1" l="1"/>
  <c r="D18" i="1" s="1"/>
  <c r="C11" i="1"/>
  <c r="O22" i="1" l="1"/>
  <c r="S22" i="1" s="1"/>
  <c r="O21" i="1"/>
  <c r="S21" i="1" s="1"/>
  <c r="O26" i="1"/>
  <c r="S26" i="1" s="1"/>
  <c r="O23" i="1"/>
  <c r="S23" i="1" s="1"/>
  <c r="C15" i="1"/>
  <c r="O25" i="1"/>
  <c r="S25" i="1" s="1"/>
  <c r="O24" i="1"/>
  <c r="S24" i="1" s="1"/>
  <c r="S19" i="1" l="1"/>
  <c r="C18" i="1"/>
  <c r="F16" i="1"/>
  <c r="F17" i="1" s="1"/>
  <c r="F18" i="1" l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<sst xmlns="http://schemas.openxmlformats.org/spreadsheetml/2006/main" count="61" uniqueCount="53">
  <si>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</si>
  <si>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</si>
  <si>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</si>
  <si>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</si>
  <si>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</si>
  <si>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</si>
  <si>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</si>
  <si>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</si>
  <si>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</si>
  <si>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</si>
  <si>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</si>
  <si>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</si>
  <si>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</si>
  <si>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</si>
  <si>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</si>
  <si>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</si>
  <si>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</si>
  <si>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</si>
  <si>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</si>
  <si>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</si>
  <si>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</si>
  <si>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</si>
  <si>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</si>
  <si>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</si>
  <si>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</si>
  <si>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</si>
  <si>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</si>
  <si>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</si>
  <si>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</si>
  <si>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</si>
  <si>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</si>
  <si>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</si>
  <si>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</si>
  <si>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</si>
  <si>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</si>
  <si>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</si>
  <si>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</si>
  <si>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</si>
  <si>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</si>
  <si>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AF Cru / GSC 8979-1493</t>
  </si>
  <si>
    <t>EA</t>
  </si>
  <si>
    <t>G8979-1493</t>
  </si>
  <si>
    <t>GRAV</t>
  </si>
  <si>
    <t>VSS_2013-01-28</t>
  </si>
  <si>
    <t>I</t>
  </si>
  <si>
    <t>II</t>
  </si>
  <si>
    <t>VSS</t>
  </si>
  <si>
    <t>CCD</t>
  </si>
  <si>
    <t>Next ToM-P</t>
  </si>
  <si>
    <t>Next ToM-S</t>
  </si>
  <si>
    <t>VSX</t>
  </si>
  <si>
    <t>9.76-10.65</t>
  </si>
  <si>
    <t xml:space="preserve">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</si>
</sst>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2" borderId="5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11" fillId="0" borderId="8" xfId="0" applyFont="1" applyBorder="1">
      <alignment vertical="top"/>
    </xf>
    <xf numFmtId="0" fontId="8" fillId="0" borderId="8" xfId="0" applyFont="1" applyBorder="1">
      <alignment vertical="top"/>
    </xf>
    <xf numFmtId="0" fontId="7" fillId="0" borderId="8" xfId="0" applyFont="1" applyBorder="1" applyAlignment="1"/>
    <xf numFmtId="22" fontId="7" fillId="0" borderId="8" xfId="0" applyNumberFormat="1" applyFont="1" applyBorder="1">
      <alignment vertical="top"/>
    </xf>
    <xf numFmtId="22" fontId="16" fillId="0" borderId="9" xfId="0" applyNumberFormat="1" applyFont="1" applyBorder="1" applyAlignment="1"/>
    <xf numFmtId="0" fontId="9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AF Cru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GRAV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-0.22922000000107801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E9-4367-8BEE-138CE43C76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2">
                  <c:v>-2.7800000025308691E-3</c:v>
                </c:pt>
                <c:pt idx="3">
                  <c:v>-3.8659999991068617E-3</c:v>
                </c:pt>
                <c:pt idx="4">
                  <c:v>-3.8490000006277114E-3</c:v>
                </c:pt>
                <c:pt idx="5">
                  <c:v>-4.6905000053811818E-3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E9-4367-8BEE-138CE43C76E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E9-4367-8BEE-138CE43C76E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E9-4367-8BEE-138CE43C76E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E9-4367-8BEE-138CE43C76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E9-4367-8BEE-138CE43C76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E9-4367-8BEE-138CE43C76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-0.22862587381335617</c:v>
                </c:pt>
                <c:pt idx="1">
                  <c:v>-1.1428074460273989E-2</c:v>
                </c:pt>
                <c:pt idx="2">
                  <c:v>-2.8069070083590747E-3</c:v>
                </c:pt>
                <c:pt idx="3">
                  <c:v>-2.6817610292183755E-3</c:v>
                </c:pt>
                <c:pt idx="4">
                  <c:v>-4.2913340468576922E-4</c:v>
                </c:pt>
                <c:pt idx="5">
                  <c:v>1.566249707168732E-3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E9-4367-8BEE-138CE43C76E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E9-4367-8BEE-138CE43C7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552560"/>
        <c:axId val="1"/>
      </c:scatterChart>
      <c:valAx>
        <c:axId val="558552560"/>
        <c:scaling>
          <c:orientation val="minMax"/>
          <c:min val="6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552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443609022556391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AF Cru - O-C Diagr.</a:t>
            </a:r>
          </a:p>
        </c:rich>
      </c:tx>
      <c:layout>
        <c:manualLayout>
          <c:xMode val="edge"/>
          <c:yMode val="edge"/>
          <c:x val="0.3873880179391990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2781476957638"/>
          <c:y val="0.14035127795846455"/>
          <c:w val="0.825827036744317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GRAV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-0.22922000000107801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F6-4D27-8913-8ED5821398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2">
                  <c:v>-2.7800000025308691E-3</c:v>
                </c:pt>
                <c:pt idx="3">
                  <c:v>-3.8659999991068617E-3</c:v>
                </c:pt>
                <c:pt idx="4">
                  <c:v>-3.8490000006277114E-3</c:v>
                </c:pt>
                <c:pt idx="5">
                  <c:v>-4.6905000053811818E-3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F6-4D27-8913-8ED5821398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F6-4D27-8913-8ED5821398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F6-4D27-8913-8ED5821398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F6-4D27-8913-8ED5821398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F6-4D27-8913-8ED5821398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2.9E-5</c:v>
                  </c:pt>
                  <c:pt idx="4">
                    <c:v>1.7000000000000001E-4</c:v>
                  </c:pt>
                  <c:pt idx="5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F6-4D27-8913-8ED5821398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-0.22862587381335617</c:v>
                </c:pt>
                <c:pt idx="1">
                  <c:v>-1.1428074460273989E-2</c:v>
                </c:pt>
                <c:pt idx="2">
                  <c:v>-2.8069070083590747E-3</c:v>
                </c:pt>
                <c:pt idx="3">
                  <c:v>-2.6817610292183755E-3</c:v>
                </c:pt>
                <c:pt idx="4">
                  <c:v>-4.2913340468576922E-4</c:v>
                </c:pt>
                <c:pt idx="5">
                  <c:v>1.566249707168732E-3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F6-4D27-8913-8ED58213986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-15620</c:v>
                </c:pt>
                <c:pt idx="1">
                  <c:v>0</c:v>
                </c:pt>
                <c:pt idx="2">
                  <c:v>620</c:v>
                </c:pt>
                <c:pt idx="3">
                  <c:v>629</c:v>
                </c:pt>
                <c:pt idx="4">
                  <c:v>791</c:v>
                </c:pt>
                <c:pt idx="5">
                  <c:v>934.5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F6-4D27-8913-8ED582139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384224"/>
        <c:axId val="1"/>
      </c:scatterChart>
      <c:valAx>
        <c:axId val="549384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384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19551047110101"/>
          <c:y val="0.92397937099967764"/>
          <c:w val="0.7432443467089135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0</xdr:row>
      <xdr:rowOff>0</xdr:rowOff>
    </xdr:from>
    <xdr:to>
      <xdr:col>17</xdr:col>
      <xdr:colOff>428624</xdr:colOff>
      <xdr:row>18</xdr:row>
      <xdr:rowOff>123825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0E3CCEF-F649-AAF2-F9B5-97E6BDCCA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638175</xdr:colOff>
      <xdr:row>0</xdr:row>
      <xdr:rowOff>28575</xdr:rowOff>
    </xdr:from>
    <xdr:to>
      <xdr:col>26</xdr:col>
      <xdr:colOff>266699</xdr:colOff>
      <xdr:row>18</xdr:row>
      <xdr:rowOff>104775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DD160BD-2328-ED1A-6A99-71836FA4D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F5" sqref="F5"/>
    </sheetView>
  </sheetViews>
  <sheetFormatPr defaultColWidth="10.28515625" defaultRowHeight="12.75" x14ac:dyDescent="0.2"/>
  <cols>
    <col min="1" max="1" width="15.42578125" customWidth="1"/>
    <col min="2" max="2" width="4.85546875" customWidth="1"/>
    <col min="3" max="3" width="11.85546875" customWidth="1"/>
    <col min="4" max="4" width="9.42578125" customWidth="1"/>
    <col min="5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t="s">
        <v>40</v>
      </c>
      <c r="C2" s="29"/>
      <c r="F2" t="s">
        <v>41</v>
      </c>
    </row>
    <row r="3" spans="1:7" ht="13.5" thickBot="1" x14ac:dyDescent="0.25"/>
    <row r="4" spans="1:7" ht="14.25" thickTop="1" thickBot="1" x14ac:dyDescent="0.25">
      <c r="A4" s="5" t="s">
        <v>0</v>
      </c>
      <c r="C4" s="26" t="s">
        <v>38</v>
      </c>
      <c r="D4" s="27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54599.538</v>
      </c>
      <c r="D7" s="28" t="s">
        <v>50</v>
      </c>
    </row>
    <row r="8" spans="1:7" x14ac:dyDescent="0.2">
      <c r="A8" t="s">
        <v>3</v>
      </c>
      <c r="C8" s="33">
        <v>1.895669</v>
      </c>
      <c r="D8" s="28" t="s">
        <v>50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0">
        <f ca="1">INTERCEPT(INDIRECT($G$11):G992,INDIRECT($F$11):F992)</f>
        <v>-1.1428074460273989E-2</v>
      </c>
      <c r="D11" s="3"/>
      <c r="E11" s="10"/>
      <c r="F11" s="21" t="str">
        <f>"F"&amp;E19</f>
        <v>F21</v>
      </c>
      <c r="G11" s="22" t="str">
        <f>"G"&amp;E19</f>
        <v>G21</v>
      </c>
    </row>
    <row r="12" spans="1:7" x14ac:dyDescent="0.2">
      <c r="A12" s="10" t="s">
        <v>16</v>
      </c>
      <c r="B12" s="10"/>
      <c r="C12" s="20">
        <f ca="1">SLOPE(INDIRECT($G$11):G992,INDIRECT($F$11):F992)</f>
        <v>1.3905108793411151E-5</v>
      </c>
      <c r="D12" s="3"/>
      <c r="E12" s="34" t="s">
        <v>52</v>
      </c>
      <c r="F12" s="35" t="s">
        <v>51</v>
      </c>
    </row>
    <row r="13" spans="1:7" x14ac:dyDescent="0.2">
      <c r="A13" s="10" t="s">
        <v>18</v>
      </c>
      <c r="B13" s="10"/>
      <c r="C13" s="3" t="s">
        <v>13</v>
      </c>
      <c r="E13" s="36" t="s">
        <v>35</v>
      </c>
      <c r="F13" s="37">
        <v>1</v>
      </c>
    </row>
    <row r="14" spans="1:7" x14ac:dyDescent="0.2">
      <c r="A14" s="10"/>
      <c r="B14" s="10"/>
      <c r="C14" s="10"/>
      <c r="E14" s="36" t="s">
        <v>31</v>
      </c>
      <c r="F14" s="38">
        <f ca="1">NOW()+15018.5+$C$9/24</f>
        <v>60518.756800694442</v>
      </c>
    </row>
    <row r="15" spans="1:7" x14ac:dyDescent="0.2">
      <c r="A15" s="12" t="s">
        <v>17</v>
      </c>
      <c r="B15" s="10"/>
      <c r="C15" s="13">
        <f ca="1">(C7+C11)+(C8+C12)*INT(MAX(F21:F3533))</f>
        <v>56370.094405297154</v>
      </c>
      <c r="E15" s="36" t="s">
        <v>36</v>
      </c>
      <c r="F15" s="38">
        <f ca="1">ROUND(2*(F14-$C$7)/$C$8,0)/2+F13</f>
        <v>3123.5</v>
      </c>
    </row>
    <row r="16" spans="1:7" x14ac:dyDescent="0.2">
      <c r="A16" s="15" t="s">
        <v>4</v>
      </c>
      <c r="B16" s="10"/>
      <c r="C16" s="16">
        <f ca="1">+C8+C12</f>
        <v>1.8956829051087936</v>
      </c>
      <c r="E16" s="36" t="s">
        <v>37</v>
      </c>
      <c r="F16" s="39">
        <f ca="1">ROUND(2*(F14-$C$15)/$C$16,0)/2+F13</f>
        <v>2189.5</v>
      </c>
    </row>
    <row r="17" spans="1:19" ht="13.5" thickBot="1" x14ac:dyDescent="0.25">
      <c r="A17" s="14" t="s">
        <v>28</v>
      </c>
      <c r="B17" s="10"/>
      <c r="C17" s="10">
        <f>COUNT(C21:C2191)</f>
        <v>6</v>
      </c>
      <c r="E17" s="36" t="s">
        <v>48</v>
      </c>
      <c r="F17" s="40">
        <f ca="1">+$C$15+$C$16*$F$16-15018.5-$C$9/24</f>
        <v>45502.587959366196</v>
      </c>
    </row>
    <row r="18" spans="1:19" ht="14.25" thickTop="1" thickBot="1" x14ac:dyDescent="0.25">
      <c r="A18" s="15" t="s">
        <v>5</v>
      </c>
      <c r="B18" s="10"/>
      <c r="C18" s="17">
        <f ca="1">+C15</f>
        <v>56370.094405297154</v>
      </c>
      <c r="D18" s="18">
        <f ca="1">+C16</f>
        <v>1.8956829051087936</v>
      </c>
      <c r="E18" s="42" t="s">
        <v>49</v>
      </c>
      <c r="F18" s="41">
        <f ca="1">+($C$15+$C$16*$F$16)-($C$16/2)-15018.5-$C$9/24</f>
        <v>45501.640117913645</v>
      </c>
    </row>
    <row r="19" spans="1:19" ht="13.5" thickTop="1" x14ac:dyDescent="0.2">
      <c r="A19" s="23" t="s">
        <v>33</v>
      </c>
      <c r="E19" s="24">
        <v>21</v>
      </c>
      <c r="F19" s="19" t="s">
        <v>32</v>
      </c>
      <c r="S19">
        <f ca="1">SQRT(SUM(S21:S50)/(COUNT(S21:S50)-1))</f>
        <v>6.0530888349800659E-3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GRAV</v>
      </c>
      <c r="I20" s="7" t="s">
        <v>46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34</v>
      </c>
    </row>
    <row r="21" spans="1:19" x14ac:dyDescent="0.2">
      <c r="A21" t="s">
        <v>42</v>
      </c>
      <c r="C21" s="8">
        <v>24988.958999999999</v>
      </c>
      <c r="D21" s="8" t="s">
        <v>13</v>
      </c>
      <c r="E21">
        <f t="shared" ref="E21:E26" si="0">+(C21-C$7)/C$8</f>
        <v>-15620.120917734057</v>
      </c>
      <c r="F21">
        <f t="shared" ref="F21:F26" si="1">ROUND(2*E21,0)/2</f>
        <v>-15620</v>
      </c>
      <c r="G21">
        <f t="shared" ref="G21:G26" si="2">+C21-(C$7+F21*C$8)</f>
        <v>-0.22922000000107801</v>
      </c>
      <c r="H21">
        <f>+G21</f>
        <v>-0.22922000000107801</v>
      </c>
      <c r="O21">
        <f t="shared" ref="O21:O26" ca="1" si="3">+C$11+C$12*$F21</f>
        <v>-0.22862587381335617</v>
      </c>
      <c r="Q21" s="2">
        <f t="shared" ref="Q21:Q26" si="4">+C21-15018.5</f>
        <v>9970.4589999999989</v>
      </c>
      <c r="S21">
        <f t="shared" ref="S21:S26" ca="1" si="5">+(O21-G21)^2</f>
        <v>3.5298592693688523E-7</v>
      </c>
    </row>
    <row r="22" spans="1:19" x14ac:dyDescent="0.2">
      <c r="A22" t="str">
        <f>$D$7</f>
        <v>VSX</v>
      </c>
      <c r="C22" s="8">
        <f>$C$7</f>
        <v>54599.538</v>
      </c>
      <c r="D22" s="8"/>
      <c r="E22">
        <f t="shared" si="0"/>
        <v>0</v>
      </c>
      <c r="F22">
        <f t="shared" si="1"/>
        <v>0</v>
      </c>
      <c r="G22">
        <f t="shared" si="2"/>
        <v>0</v>
      </c>
      <c r="I22">
        <f>+G22</f>
        <v>0</v>
      </c>
      <c r="O22">
        <f t="shared" ca="1" si="3"/>
        <v>-1.1428074460273989E-2</v>
      </c>
      <c r="Q22" s="2">
        <f t="shared" si="4"/>
        <v>39581.038</v>
      </c>
      <c r="S22">
        <f t="shared" ca="1" si="5"/>
        <v>1.3060088586956662E-4</v>
      </c>
    </row>
    <row r="23" spans="1:19" x14ac:dyDescent="0.2">
      <c r="A23" s="30" t="s">
        <v>43</v>
      </c>
      <c r="B23" s="31" t="s">
        <v>44</v>
      </c>
      <c r="C23" s="32">
        <v>55774.85</v>
      </c>
      <c r="D23" s="32">
        <v>0.01</v>
      </c>
      <c r="E23">
        <f t="shared" si="0"/>
        <v>619.99853349925434</v>
      </c>
      <c r="F23">
        <f t="shared" si="1"/>
        <v>620</v>
      </c>
      <c r="G23">
        <f t="shared" si="2"/>
        <v>-2.7800000025308691E-3</v>
      </c>
      <c r="I23">
        <f>+G23</f>
        <v>-2.7800000025308691E-3</v>
      </c>
      <c r="O23">
        <f t="shared" ca="1" si="3"/>
        <v>-2.8069070083590747E-3</v>
      </c>
      <c r="Q23" s="2">
        <f t="shared" si="4"/>
        <v>40756.35</v>
      </c>
      <c r="S23">
        <f t="shared" ca="1" si="5"/>
        <v>7.2398696263909007E-10</v>
      </c>
    </row>
    <row r="24" spans="1:19" x14ac:dyDescent="0.2">
      <c r="A24" s="30" t="s">
        <v>43</v>
      </c>
      <c r="B24" s="31" t="s">
        <v>44</v>
      </c>
      <c r="C24" s="32">
        <v>55791.909935000003</v>
      </c>
      <c r="D24" s="32">
        <v>2.9E-5</v>
      </c>
      <c r="E24">
        <f t="shared" si="0"/>
        <v>628.99796061443362</v>
      </c>
      <c r="F24">
        <f t="shared" si="1"/>
        <v>629</v>
      </c>
      <c r="G24">
        <f t="shared" si="2"/>
        <v>-3.8659999991068617E-3</v>
      </c>
      <c r="I24">
        <f>+G24</f>
        <v>-3.8659999991068617E-3</v>
      </c>
      <c r="O24">
        <f t="shared" ca="1" si="3"/>
        <v>-2.6817610292183755E-3</v>
      </c>
      <c r="Q24" s="2">
        <f t="shared" si="4"/>
        <v>40773.409935000003</v>
      </c>
      <c r="S24">
        <f t="shared" ca="1" si="5"/>
        <v>1.4024219378025427E-6</v>
      </c>
    </row>
    <row r="25" spans="1:19" x14ac:dyDescent="0.2">
      <c r="A25" s="30" t="s">
        <v>43</v>
      </c>
      <c r="B25" s="31" t="s">
        <v>44</v>
      </c>
      <c r="C25" s="32">
        <v>56099.008329999997</v>
      </c>
      <c r="D25" s="32">
        <v>1.7000000000000001E-4</v>
      </c>
      <c r="E25">
        <f t="shared" si="0"/>
        <v>790.99796958224056</v>
      </c>
      <c r="F25">
        <f t="shared" si="1"/>
        <v>791</v>
      </c>
      <c r="G25">
        <f t="shared" si="2"/>
        <v>-3.8490000006277114E-3</v>
      </c>
      <c r="I25">
        <f>+G25</f>
        <v>-3.8490000006277114E-3</v>
      </c>
      <c r="O25">
        <f t="shared" ca="1" si="3"/>
        <v>-4.2913340468576922E-4</v>
      </c>
      <c r="Q25" s="2">
        <f t="shared" si="4"/>
        <v>41080.508329999997</v>
      </c>
      <c r="S25">
        <f t="shared" ca="1" si="5"/>
        <v>1.1695487534039528E-5</v>
      </c>
    </row>
    <row r="26" spans="1:19" x14ac:dyDescent="0.2">
      <c r="A26" s="30" t="s">
        <v>43</v>
      </c>
      <c r="B26" s="31" t="s">
        <v>45</v>
      </c>
      <c r="C26" s="32">
        <v>56371.035989999997</v>
      </c>
      <c r="D26" s="32">
        <v>6.0000000000000002E-5</v>
      </c>
      <c r="E26">
        <f t="shared" si="0"/>
        <v>934.49752567563019</v>
      </c>
      <c r="F26">
        <f t="shared" si="1"/>
        <v>934.5</v>
      </c>
      <c r="G26">
        <f t="shared" si="2"/>
        <v>-4.6905000053811818E-3</v>
      </c>
      <c r="I26">
        <f>+G26</f>
        <v>-4.6905000053811818E-3</v>
      </c>
      <c r="O26">
        <f t="shared" ca="1" si="3"/>
        <v>1.566249707168732E-3</v>
      </c>
      <c r="Q26" s="2">
        <f t="shared" si="4"/>
        <v>41352.535989999997</v>
      </c>
      <c r="S26">
        <f t="shared" ca="1" si="5"/>
        <v>3.9146916965493432E-5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S26">
    <sortCondition ref="C21:C26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2024-07-27T06:09:47Z</dcterms:modified>
</cp:coreProperties>
</file>