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D33C3FA-523D-413B-83E7-2F26AD1EBD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9" i="1" l="1"/>
  <c r="D9" i="1"/>
  <c r="Q21" i="1"/>
  <c r="Q23" i="1"/>
  <c r="E21" i="1"/>
  <c r="F21" i="1" s="1"/>
  <c r="G21" i="1" s="1"/>
  <c r="H21" i="1" s="1"/>
  <c r="B2" i="1"/>
  <c r="A1" i="1"/>
  <c r="F14" i="1"/>
  <c r="C17" i="1"/>
  <c r="Q22" i="1"/>
  <c r="E22" i="1"/>
  <c r="F22" i="1" s="1"/>
  <c r="G22" i="1" s="1"/>
  <c r="I22" i="1" s="1"/>
  <c r="E23" i="1"/>
  <c r="F23" i="1"/>
  <c r="G23" i="1" s="1"/>
  <c r="K23" i="1" s="1"/>
  <c r="C11" i="1"/>
  <c r="C12" i="1"/>
  <c r="C16" i="1" l="1"/>
  <c r="D18" i="1" s="1"/>
  <c r="O22" i="1"/>
  <c r="O23" i="1"/>
  <c r="O21" i="1"/>
  <c r="C15" i="1"/>
  <c r="F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<sst xmlns="http://schemas.openxmlformats.org/spreadsheetml/2006/main" count="55" uniqueCount="52">
  <si>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</si>
  <si>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</si>
  <si>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</si>
  <si>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</si>
  <si>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</si>
  <si>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</si>
  <si>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</si>
  <si>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</si>
  <si>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</si>
  <si>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</si>
  <si>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</si>
  <si>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</si>
  <si>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</si>
  <si>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</si>
  <si>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</si>
  <si>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</si>
  <si>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</si>
  <si>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</si>
  <si>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</si>
  <si>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</si>
  <si>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</si>
  <si>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</si>
  <si>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</si>
  <si>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</si>
  <si>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</si>
  <si>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</si>
  <si>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</si>
  <si>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</si>
  <si>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</si>
  <si>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</si>
  <si>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</si>
  <si>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</si>
  <si>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</si>
  <si>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</si>
  <si>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</si>
  <si>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</si>
  <si>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AQ Cru</t>
  </si>
  <si>
    <t>G8981-1880</t>
  </si>
  <si>
    <t>EB/KE</t>
  </si>
  <si>
    <t>Kreiner</t>
  </si>
  <si>
    <t>GCVS 4</t>
  </si>
  <si>
    <t>Pavlov 2015, pc</t>
  </si>
  <si>
    <t>II</t>
  </si>
  <si>
    <t>pg</t>
  </si>
  <si>
    <t>vis</t>
  </si>
  <si>
    <t>PE</t>
  </si>
  <si>
    <t>CCD</t>
  </si>
  <si>
    <t>VSX</t>
  </si>
  <si>
    <t xml:space="preserve">Mag p </t>
  </si>
  <si>
    <t>13.2-13.9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</si>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</sst>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15" fillId="4" borderId="6" xfId="0" applyFont="1" applyFill="1" applyBorder="1" applyAlignment="1">
      <alignment horizontal="right"/>
    </xf>
    <xf numFmtId="0" fontId="15" fillId="4" borderId="7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right" vertical="top"/>
    </xf>
    <xf numFmtId="0" fontId="11" fillId="0" borderId="9" xfId="0" applyFont="1" applyBorder="1" applyAlignment="1">
      <alignment horizontal="right" vertical="top"/>
    </xf>
    <xf numFmtId="0" fontId="21" fillId="0" borderId="9" xfId="0" applyFont="1" applyBorder="1" applyAlignment="1">
      <alignment horizontal="right" vertical="top"/>
    </xf>
    <xf numFmtId="0" fontId="21" fillId="0" borderId="9" xfId="0" applyFont="1" applyBorder="1" applyAlignment="1">
      <alignment horizontal="right"/>
    </xf>
    <xf numFmtId="22" fontId="21" fillId="0" borderId="9" xfId="0" applyNumberFormat="1" applyFont="1" applyBorder="1" applyAlignment="1">
      <alignment horizontal="right" vertical="top"/>
    </xf>
    <xf numFmtId="22" fontId="21" fillId="0" borderId="10" xfId="0" applyNumberFormat="1" applyFont="1" applyBorder="1" applyAlignment="1">
      <alignment horizontal="right"/>
    </xf>
    <xf numFmtId="0" fontId="20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Cru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23085.5</c:v>
                </c:pt>
                <c:pt idx="2">
                  <c:v>27120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0E-4D1C-87C0-3506945F03D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23085.5</c:v>
                </c:pt>
                <c:pt idx="2">
                  <c:v>27120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1.2860599999839906E-2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0E-4D1C-87C0-3506945F03D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23085.5</c:v>
                </c:pt>
                <c:pt idx="2">
                  <c:v>27120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0E-4D1C-87C0-3506945F03D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23085.5</c:v>
                </c:pt>
                <c:pt idx="2">
                  <c:v>27120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6.6640000004554167E-3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0E-4D1C-87C0-3506945F03D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23085.5</c:v>
                </c:pt>
                <c:pt idx="2">
                  <c:v>27120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0E-4D1C-87C0-3506945F03D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23085.5</c:v>
                </c:pt>
                <c:pt idx="2">
                  <c:v>27120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0E-4D1C-87C0-3506945F03D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23085.5</c:v>
                </c:pt>
                <c:pt idx="2">
                  <c:v>27120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0E-4D1C-87C0-3506945F03D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23085.5</c:v>
                </c:pt>
                <c:pt idx="2">
                  <c:v>27120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4.8317684963476194E-2</c:v>
                </c:pt>
                <c:pt idx="1">
                  <c:v>1.2860599999839906E-2</c:v>
                </c:pt>
                <c:pt idx="2">
                  <c:v>6.6640000004554167E-3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0E-4D1C-87C0-3506945F03D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23085.5</c:v>
                </c:pt>
                <c:pt idx="2">
                  <c:v>27120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0E-4D1C-87C0-3506945F0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795384"/>
        <c:axId val="1"/>
      </c:scatterChart>
      <c:valAx>
        <c:axId val="48279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279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7424397-A594-6926-76AC-D2E533CA8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5.5703125" customWidth="1"/>
    <col min="2" max="2" width="4.85546875" customWidth="1"/>
    <col min="3" max="3" width="11.85546875" customWidth="1"/>
    <col min="4" max="4" width="10.5703125" customWidth="1"/>
    <col min="5" max="5" width="12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tr">
        <f>F1&amp;" / GSC "&amp;RIGHT(I1,9)</f>
        <v>AQ Cru / GSC 8981-1880</v>
      </c>
      <c r="F1" s="29" t="s">
        <v>36</v>
      </c>
      <c r="G1" s="30">
        <v>0</v>
      </c>
      <c r="H1" s="31"/>
      <c r="I1" s="32" t="s">
        <v>37</v>
      </c>
      <c r="J1" s="33" t="s">
        <v>36</v>
      </c>
      <c r="K1" s="34">
        <v>11.56451</v>
      </c>
      <c r="L1" s="35">
        <v>-64.023399999999995</v>
      </c>
      <c r="M1" s="36">
        <v>52500.023999999998</v>
      </c>
      <c r="N1" s="36">
        <v>1.1550033</v>
      </c>
      <c r="O1" s="32" t="s">
        <v>38</v>
      </c>
    </row>
    <row r="2" spans="1:15" x14ac:dyDescent="0.2">
      <c r="A2" t="s">
        <v>23</v>
      </c>
      <c r="B2" t="str">
        <f>O1</f>
        <v>EB/KE</v>
      </c>
      <c r="C2" s="28"/>
    </row>
    <row r="3" spans="1:15" ht="13.5" thickBot="1" x14ac:dyDescent="0.25"/>
    <row r="4" spans="1:15" ht="14.25" thickTop="1" thickBot="1" x14ac:dyDescent="0.25">
      <c r="A4" s="5" t="s">
        <v>0</v>
      </c>
      <c r="C4" s="25">
        <v>25836.194</v>
      </c>
      <c r="D4" s="26">
        <v>1.1550028000000001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25836.194</v>
      </c>
      <c r="D7" s="32" t="s">
        <v>47</v>
      </c>
    </row>
    <row r="8" spans="1:15" x14ac:dyDescent="0.2">
      <c r="A8" t="s">
        <v>3</v>
      </c>
      <c r="C8" s="8">
        <v>1.1550028000000001</v>
      </c>
      <c r="D8" s="27" t="s">
        <v>47</v>
      </c>
    </row>
    <row r="9" spans="1:15" x14ac:dyDescent="0.2">
      <c r="A9" s="22" t="s">
        <v>31</v>
      </c>
      <c r="C9" s="23">
        <v>22</v>
      </c>
      <c r="D9" s="20" t="str">
        <f>"F"&amp;C9</f>
        <v>F22</v>
      </c>
      <c r="E9" s="21" t="str">
        <f>"G"&amp;C9</f>
        <v>G22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19">
        <f ca="1">INTERCEPT(INDIRECT($E$9):G992,INDIRECT($D$9):F992)</f>
        <v>4.8317684963476194E-2</v>
      </c>
      <c r="D11" s="3"/>
      <c r="E11" s="10"/>
    </row>
    <row r="12" spans="1:15" x14ac:dyDescent="0.2">
      <c r="A12" s="10" t="s">
        <v>16</v>
      </c>
      <c r="B12" s="10"/>
      <c r="C12" s="19">
        <f ca="1">SLOPE(INDIRECT($E$9):G992,INDIRECT($D$9):F992)</f>
        <v>-1.5359028378694977E-6</v>
      </c>
      <c r="D12" s="3"/>
      <c r="E12" s="40" t="s">
        <v>48</v>
      </c>
      <c r="F12" s="41" t="s">
        <v>49</v>
      </c>
    </row>
    <row r="13" spans="1:15" x14ac:dyDescent="0.2">
      <c r="A13" s="10" t="s">
        <v>18</v>
      </c>
      <c r="B13" s="10"/>
      <c r="C13" s="3" t="s">
        <v>13</v>
      </c>
      <c r="E13" s="42" t="s">
        <v>33</v>
      </c>
      <c r="F13" s="43">
        <v>1</v>
      </c>
    </row>
    <row r="14" spans="1:15" x14ac:dyDescent="0.2">
      <c r="A14" s="10"/>
      <c r="B14" s="10"/>
      <c r="C14" s="10"/>
      <c r="E14" s="42" t="s">
        <v>30</v>
      </c>
      <c r="F14" s="44">
        <f ca="1">NOW()+15018.5+$C$5/24</f>
        <v>60518.831283796295</v>
      </c>
    </row>
    <row r="15" spans="1:15" x14ac:dyDescent="0.2">
      <c r="A15" s="12" t="s">
        <v>17</v>
      </c>
      <c r="B15" s="10"/>
      <c r="C15" s="13">
        <f ca="1">(C7+C11)+(C8+C12)*INT(MAX(F21:F3533))</f>
        <v>57159.876600000003</v>
      </c>
      <c r="E15" s="42" t="s">
        <v>34</v>
      </c>
      <c r="F15" s="44">
        <f ca="1">ROUND(2*(F14-$C$7)/$C$8,0)/2+F13</f>
        <v>30029</v>
      </c>
    </row>
    <row r="16" spans="1:15" x14ac:dyDescent="0.2">
      <c r="A16" s="15" t="s">
        <v>4</v>
      </c>
      <c r="B16" s="10"/>
      <c r="C16" s="16">
        <f ca="1">+C8+C12</f>
        <v>1.1550012640971623</v>
      </c>
      <c r="E16" s="42" t="s">
        <v>35</v>
      </c>
      <c r="F16" s="45">
        <f ca="1">ROUND(2*(F14-$C$15)/$C$16,0)/2+F13</f>
        <v>2909</v>
      </c>
    </row>
    <row r="17" spans="1:18" ht="13.5" thickBot="1" x14ac:dyDescent="0.25">
      <c r="A17" s="14" t="s">
        <v>27</v>
      </c>
      <c r="B17" s="10"/>
      <c r="C17" s="10">
        <f>COUNT(C21:C2191)</f>
        <v>3</v>
      </c>
      <c r="E17" s="42" t="s">
        <v>50</v>
      </c>
      <c r="F17" s="46">
        <f ca="1">+$C$15+$C$16*$F$16-15018.5-$C$5/24</f>
        <v>45501.671110591982</v>
      </c>
    </row>
    <row r="18" spans="1:18" ht="14.25" thickTop="1" thickBot="1" x14ac:dyDescent="0.25">
      <c r="A18" s="15" t="s">
        <v>5</v>
      </c>
      <c r="B18" s="10"/>
      <c r="C18" s="17">
        <f ca="1">+C15</f>
        <v>57159.876600000003</v>
      </c>
      <c r="D18" s="18">
        <f ca="1">+C16</f>
        <v>1.1550012640971623</v>
      </c>
      <c r="E18" s="48" t="s">
        <v>51</v>
      </c>
      <c r="F18" s="47">
        <f ca="1">+($C$15+$C$16*$F$16)-($C$16/2)-15018.5-$C$5/24</f>
        <v>45501.093609959935</v>
      </c>
    </row>
    <row r="19" spans="1:18" ht="13.5" thickTop="1" x14ac:dyDescent="0.2"/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44</v>
      </c>
      <c r="J20" s="7" t="s">
        <v>45</v>
      </c>
      <c r="K20" s="7" t="s">
        <v>46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4" t="s">
        <v>32</v>
      </c>
    </row>
    <row r="21" spans="1:18" x14ac:dyDescent="0.2">
      <c r="A21" t="s">
        <v>40</v>
      </c>
      <c r="C21" s="8">
        <v>25836.194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4.8317684963476194E-2</v>
      </c>
      <c r="Q21" s="2">
        <f>+C21-15018.5</f>
        <v>10817.694</v>
      </c>
    </row>
    <row r="22" spans="1:18" x14ac:dyDescent="0.2">
      <c r="A22" t="s">
        <v>39</v>
      </c>
      <c r="C22" s="8">
        <v>52500.023999999998</v>
      </c>
      <c r="D22" s="8" t="s">
        <v>13</v>
      </c>
      <c r="E22">
        <f>+(C22-C$7)/C$8</f>
        <v>23085.511134691616</v>
      </c>
      <c r="F22">
        <f>ROUND(2*E22,0)/2</f>
        <v>23085.5</v>
      </c>
      <c r="G22">
        <f>+C22-(C$7+F22*C$8)</f>
        <v>1.2860599999839906E-2</v>
      </c>
      <c r="I22">
        <f>+G22</f>
        <v>1.2860599999839906E-2</v>
      </c>
      <c r="O22">
        <f ca="1">+C$11+C$12*$F22</f>
        <v>1.2860599999839906E-2</v>
      </c>
      <c r="Q22" s="2">
        <f>+C22-15018.5</f>
        <v>37481.523999999998</v>
      </c>
    </row>
    <row r="23" spans="1:18" ht="15" x14ac:dyDescent="0.2">
      <c r="A23" s="37" t="s">
        <v>41</v>
      </c>
      <c r="B23" s="38" t="s">
        <v>42</v>
      </c>
      <c r="C23" s="8">
        <v>57159.876600000003</v>
      </c>
      <c r="D23" s="39">
        <v>5.0000000000000001E-4</v>
      </c>
      <c r="E23">
        <f>+(C23-C$7)/C$8</f>
        <v>27120.005769682983</v>
      </c>
      <c r="F23">
        <f>ROUND(2*E23,0)/2</f>
        <v>27120</v>
      </c>
      <c r="G23">
        <f>+C23-(C$7+F23*C$8)</f>
        <v>6.6640000004554167E-3</v>
      </c>
      <c r="K23">
        <f>+G23</f>
        <v>6.6640000004554167E-3</v>
      </c>
      <c r="O23">
        <f ca="1">+C$11+C$12*$F23</f>
        <v>6.6640000004554167E-3</v>
      </c>
      <c r="Q23" s="2">
        <f>+C23-15018.5</f>
        <v>42141.376600000003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2024-07-27T07:57:02Z</dcterms:modified>
</cp:coreProperties>
</file>