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8DA0B9D-2C07-4299-9293-AB64B12C3E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G11" i="1"/>
  <c r="F11" i="1"/>
  <c r="C7" i="1"/>
  <c r="E22" i="1"/>
  <c r="F22" i="1"/>
  <c r="C8" i="1"/>
  <c r="E21" i="1"/>
  <c r="F21" i="1"/>
  <c r="G21" i="1"/>
  <c r="H21" i="1"/>
  <c r="C17" i="1"/>
  <c r="Q21" i="1"/>
  <c r="G22" i="1"/>
  <c r="I22" i="1"/>
  <c r="C11" i="1"/>
  <c r="F15" i="1" l="1"/>
  <c r="C12" i="1"/>
  <c r="O21" i="1" l="1"/>
  <c r="C16" i="1"/>
  <c r="D18" i="1" s="1"/>
  <c r="C1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<sst xmlns="http://schemas.openxmlformats.org/spreadsheetml/2006/main" count="56" uniqueCount="51">
  <si>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</si>
  <si>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</si>
  <si>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</si>
  <si>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</si>
  <si>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</si>
  <si>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</si>
  <si>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</si>
  <si>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</si>
  <si>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</si>
  <si>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</si>
  <si>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</si>
  <si>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</si>
  <si>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</si>
  <si>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</si>
  <si>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</si>
  <si>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</si>
  <si>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</si>
  <si>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</si>
  <si>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</si>
  <si>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</si>
  <si>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</si>
  <si>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</si>
  <si>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</si>
  <si>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</si>
  <si>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</si>
  <si>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</si>
  <si>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</si>
  <si>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</si>
  <si>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</si>
  <si>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</si>
  <si>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</si>
  <si>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</si>
  <si>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</si>
  <si>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</si>
  <si>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</si>
  <si>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</si>
  <si>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</si>
  <si>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XY Cru / G7667-1974</t>
  </si>
  <si>
    <t>EA</t>
  </si>
  <si>
    <t>Cru_XY.xls</t>
  </si>
  <si>
    <t>IBVS 5802</t>
  </si>
  <si>
    <t>GCVS</t>
  </si>
  <si>
    <t>CCD</t>
  </si>
  <si>
    <t>VSX</t>
  </si>
  <si>
    <t xml:space="preserve">Mag </t>
  </si>
  <si>
    <t>Add cycle</t>
  </si>
  <si>
    <t>Old Cycle</t>
  </si>
  <si>
    <t>Next ToM-P</t>
  </si>
  <si>
    <t>Next ToM-S</t>
  </si>
  <si>
    <t>11.6-12.4</t>
  </si>
  <si>
    <t>EA/SD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</si>
</sst>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5" fillId="0" borderId="0" xfId="0" applyFont="1" applyAlignment="1"/>
    <xf numFmtId="0" fontId="0" fillId="2" borderId="5" xfId="0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top"/>
    </xf>
    <xf numFmtId="0" fontId="4" fillId="0" borderId="8" xfId="0" applyFont="1" applyBorder="1" applyAlignment="1"/>
    <xf numFmtId="0" fontId="17" fillId="0" borderId="8" xfId="0" applyFont="1" applyBorder="1" applyAlignment="1"/>
    <xf numFmtId="22" fontId="16" fillId="0" borderId="7" xfId="0" applyNumberFormat="1" applyFont="1" applyBorder="1" applyAlignment="1">
      <alignment horizontal="right" vertical="top"/>
    </xf>
    <xf numFmtId="22" fontId="17" fillId="0" borderId="8" xfId="0" applyNumberFormat="1" applyFont="1" applyBorder="1" applyAlignment="1"/>
    <xf numFmtId="22" fontId="17" fillId="0" borderId="9" xfId="0" applyNumberFormat="1" applyFont="1" applyBorder="1" applyAlignment="1"/>
    <xf numFmtId="0" fontId="16" fillId="0" borderId="10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Cru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CA-4833-9753-54BF203325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-7.2207500001240987E-2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CA-4833-9753-54BF203325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CA-4833-9753-54BF203325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CA-4833-9753-54BF203325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CA-4833-9753-54BF203325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CA-4833-9753-54BF203325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CA-4833-9753-54BF203325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-7.2207500001240987E-2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CA-4833-9753-54BF20332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20848"/>
        <c:axId val="1"/>
      </c:scatterChart>
      <c:valAx>
        <c:axId val="55882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820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23DDF3-2AA5-421E-669C-56462E331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37</v>
      </c>
      <c r="F1">
        <v>24537.883999999998</v>
      </c>
      <c r="G1">
        <v>1.0240050000000001</v>
      </c>
      <c r="H1" t="s">
        <v>38</v>
      </c>
      <c r="I1" t="s">
        <v>39</v>
      </c>
    </row>
    <row r="2" spans="1:9" x14ac:dyDescent="0.2">
      <c r="A2" t="s">
        <v>24</v>
      </c>
      <c r="B2" s="28" t="s">
        <v>50</v>
      </c>
      <c r="C2" s="3"/>
      <c r="D2" s="3"/>
      <c r="E2" t="s">
        <v>39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24537.883999999998</v>
      </c>
      <c r="D4" s="9">
        <v>1.0240050000000001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24537.883999999998</v>
      </c>
      <c r="D7" s="28" t="s">
        <v>43</v>
      </c>
    </row>
    <row r="8" spans="1:9" x14ac:dyDescent="0.2">
      <c r="A8" t="s">
        <v>3</v>
      </c>
      <c r="C8">
        <f>+D4</f>
        <v>1.0240050000000001</v>
      </c>
      <c r="D8" s="28" t="s">
        <v>43</v>
      </c>
    </row>
    <row r="9" spans="1:9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1">
        <f ca="1">INTERCEPT(INDIRECT($G$11):G992,INDIRECT($F$11):F992)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9" x14ac:dyDescent="0.2">
      <c r="A12" s="12" t="s">
        <v>17</v>
      </c>
      <c r="B12" s="12"/>
      <c r="C12" s="21">
        <f ca="1">SLOPE(INDIRECT($G$11):G992,INDIRECT($F$11):F992)</f>
        <v>-2.4863557323568338E-6</v>
      </c>
      <c r="D12" s="3"/>
      <c r="E12" s="29" t="s">
        <v>44</v>
      </c>
      <c r="F12" s="30" t="s">
        <v>49</v>
      </c>
    </row>
    <row r="13" spans="1:9" x14ac:dyDescent="0.2">
      <c r="A13" s="12" t="s">
        <v>19</v>
      </c>
      <c r="B13" s="12"/>
      <c r="C13" s="3" t="s">
        <v>14</v>
      </c>
      <c r="D13" s="3"/>
      <c r="E13" s="31" t="s">
        <v>45</v>
      </c>
      <c r="F13" s="32">
        <v>1</v>
      </c>
    </row>
    <row r="14" spans="1:9" x14ac:dyDescent="0.2">
      <c r="A14" s="12"/>
      <c r="B14" s="12"/>
      <c r="C14" s="12"/>
      <c r="D14" s="12"/>
      <c r="E14" s="31" t="s">
        <v>33</v>
      </c>
      <c r="F14" s="33">
        <f ca="1">NOW()+15018.5+$C$9/24</f>
        <v>60520.729634606476</v>
      </c>
    </row>
    <row r="15" spans="1:9" x14ac:dyDescent="0.2">
      <c r="A15" s="14" t="s">
        <v>18</v>
      </c>
      <c r="B15" s="12"/>
      <c r="C15" s="15">
        <f ca="1">(C7+C11)+(C8+C12)*INT(MAX(F21:F3533))</f>
        <v>54275.940998743172</v>
      </c>
      <c r="D15" s="16" t="s">
        <v>33</v>
      </c>
      <c r="E15" s="31" t="s">
        <v>46</v>
      </c>
      <c r="F15" s="33">
        <f ca="1">ROUND(2*($F$14-$C$7)/$C$8,0)/2+$F$13</f>
        <v>35140.5</v>
      </c>
    </row>
    <row r="16" spans="1:9" x14ac:dyDescent="0.2">
      <c r="A16" s="17" t="s">
        <v>4</v>
      </c>
      <c r="B16" s="12"/>
      <c r="C16" s="18">
        <f ca="1">+C8+C12</f>
        <v>1.0240025136442676</v>
      </c>
      <c r="D16" s="16" t="s">
        <v>34</v>
      </c>
      <c r="E16" s="31" t="s">
        <v>34</v>
      </c>
      <c r="F16" s="33">
        <f ca="1">ROUND(2*($F$14-$C$15)/$C$16,0)/2+$F$13</f>
        <v>6099.5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35</v>
      </c>
      <c r="E17" s="34" t="s">
        <v>47</v>
      </c>
      <c r="F17" s="35">
        <f ca="1">+$C$15+$C$16*$F$16-15018.5-$C$9/24</f>
        <v>45503.740164049719</v>
      </c>
    </row>
    <row r="18" spans="1:17" ht="14.25" thickTop="1" thickBot="1" x14ac:dyDescent="0.25">
      <c r="A18" s="17" t="s">
        <v>5</v>
      </c>
      <c r="B18" s="12"/>
      <c r="C18" s="19">
        <f ca="1">+C15</f>
        <v>54275.940998743172</v>
      </c>
      <c r="D18" s="20">
        <f ca="1">+C16</f>
        <v>1.0240025136442676</v>
      </c>
      <c r="E18" s="37" t="s">
        <v>48</v>
      </c>
      <c r="F18" s="36">
        <f ca="1">+($C$15+$C$16*$F$16)-($C$16/2)-15018.5-$C$9/24</f>
        <v>45503.228162792897</v>
      </c>
    </row>
    <row r="19" spans="1:17" ht="13.5" thickTop="1" x14ac:dyDescent="0.2">
      <c r="A19" s="24" t="s">
        <v>36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29</v>
      </c>
      <c r="J20" s="7" t="s">
        <v>42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24537.883999999998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9519.3839999999982</v>
      </c>
    </row>
    <row r="22" spans="1:17" x14ac:dyDescent="0.2">
      <c r="A22" s="26" t="s">
        <v>40</v>
      </c>
      <c r="B22" s="27"/>
      <c r="C22" s="26">
        <v>54276.453000000001</v>
      </c>
      <c r="D22" s="26">
        <v>5.0000000000000001E-3</v>
      </c>
      <c r="E22">
        <f>+(C22-C$7)/C$8</f>
        <v>29041.429485207595</v>
      </c>
      <c r="F22">
        <f>ROUND(2*E22,0)/2</f>
        <v>29041.5</v>
      </c>
      <c r="G22">
        <f>+C22-(C$7+F22*C$8)</f>
        <v>-7.2207500001240987E-2</v>
      </c>
      <c r="I22">
        <f>+G22</f>
        <v>-7.2207500001240987E-2</v>
      </c>
      <c r="O22">
        <f ca="1">+C$11+C$12*$F22</f>
        <v>-7.2207500001240987E-2</v>
      </c>
      <c r="Q22" s="2">
        <f>+C22-15018.5</f>
        <v>39257.953000000001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2024-07-29T05:30:40Z</dcterms:modified>
</cp:coreProperties>
</file>