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52CAC51-3B54-4C96-B282-D9052879D02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56" i="1" l="1"/>
  <c r="D9" i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6" i="1"/>
  <c r="Q37" i="1"/>
  <c r="Q38" i="1"/>
  <c r="Q39" i="1"/>
  <c r="Q40" i="1"/>
  <c r="Q41" i="1"/>
  <c r="Q42" i="1"/>
  <c r="Q45" i="1"/>
  <c r="Q48" i="1"/>
  <c r="Q49" i="1"/>
  <c r="G19" i="2"/>
  <c r="C19" i="2"/>
  <c r="G18" i="2"/>
  <c r="C18" i="2"/>
  <c r="G17" i="2"/>
  <c r="C17" i="2"/>
  <c r="G16" i="2"/>
  <c r="C16" i="2"/>
  <c r="G15" i="2"/>
  <c r="C15" i="2"/>
  <c r="G14" i="2"/>
  <c r="C14" i="2"/>
  <c r="G43" i="2"/>
  <c r="C43" i="2"/>
  <c r="G42" i="2"/>
  <c r="C42" i="2"/>
  <c r="G13" i="2"/>
  <c r="C13" i="2"/>
  <c r="G12" i="2"/>
  <c r="C12" i="2"/>
  <c r="G41" i="2"/>
  <c r="C41" i="2"/>
  <c r="G11" i="2"/>
  <c r="C1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43" i="2"/>
  <c r="B43" i="2"/>
  <c r="D43" i="2"/>
  <c r="A43" i="2"/>
  <c r="H42" i="2"/>
  <c r="B42" i="2"/>
  <c r="D42" i="2"/>
  <c r="A42" i="2"/>
  <c r="H13" i="2"/>
  <c r="B13" i="2"/>
  <c r="D13" i="2"/>
  <c r="A13" i="2"/>
  <c r="H12" i="2"/>
  <c r="B12" i="2"/>
  <c r="D12" i="2"/>
  <c r="A12" i="2"/>
  <c r="H41" i="2"/>
  <c r="B41" i="2"/>
  <c r="D41" i="2"/>
  <c r="A41" i="2"/>
  <c r="H11" i="2"/>
  <c r="B11" i="2"/>
  <c r="D11" i="2"/>
  <c r="A1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Q51" i="1"/>
  <c r="Q53" i="1"/>
  <c r="Q50" i="1"/>
  <c r="Q52" i="1"/>
  <c r="Q55" i="1"/>
  <c r="Q54" i="1"/>
  <c r="F16" i="1"/>
  <c r="F17" i="1" s="1"/>
  <c r="C17" i="1"/>
  <c r="C7" i="1"/>
  <c r="E56" i="1"/>
  <c r="F56" i="1"/>
  <c r="C8" i="1"/>
  <c r="Q43" i="1"/>
  <c r="Q44" i="1"/>
  <c r="Q46" i="1"/>
  <c r="Q47" i="1"/>
  <c r="Q35" i="1"/>
  <c r="E24" i="2"/>
  <c r="E31" i="2"/>
  <c r="E16" i="2"/>
  <c r="E20" i="2"/>
  <c r="E28" i="2"/>
  <c r="E19" i="2"/>
  <c r="E34" i="2"/>
  <c r="E29" i="2"/>
  <c r="E37" i="2"/>
  <c r="E14" i="2"/>
  <c r="E35" i="1"/>
  <c r="F35" i="1"/>
  <c r="G42" i="1"/>
  <c r="I42" i="1"/>
  <c r="E40" i="1"/>
  <c r="F40" i="1"/>
  <c r="G40" i="1"/>
  <c r="I40" i="1"/>
  <c r="E31" i="1"/>
  <c r="F31" i="1"/>
  <c r="G25" i="1"/>
  <c r="I25" i="1"/>
  <c r="E23" i="1"/>
  <c r="F23" i="1"/>
  <c r="G23" i="1"/>
  <c r="I23" i="1"/>
  <c r="E55" i="1"/>
  <c r="F55" i="1"/>
  <c r="E44" i="1"/>
  <c r="F44" i="1"/>
  <c r="G44" i="1"/>
  <c r="I44" i="1"/>
  <c r="E49" i="1"/>
  <c r="F49" i="1"/>
  <c r="G49" i="1"/>
  <c r="K49" i="1"/>
  <c r="E37" i="1"/>
  <c r="F37" i="1"/>
  <c r="G30" i="1"/>
  <c r="I30" i="1"/>
  <c r="E28" i="1"/>
  <c r="F28" i="1"/>
  <c r="G28" i="1"/>
  <c r="I28" i="1"/>
  <c r="E52" i="1"/>
  <c r="F52" i="1"/>
  <c r="G52" i="1"/>
  <c r="J52" i="1"/>
  <c r="G43" i="1"/>
  <c r="I43" i="1"/>
  <c r="E42" i="1"/>
  <c r="F42" i="1"/>
  <c r="G36" i="1"/>
  <c r="I36" i="1"/>
  <c r="E33" i="1"/>
  <c r="F33" i="1"/>
  <c r="G33" i="1"/>
  <c r="I33" i="1"/>
  <c r="E25" i="1"/>
  <c r="F25" i="1"/>
  <c r="G50" i="1"/>
  <c r="J50" i="1"/>
  <c r="E47" i="1"/>
  <c r="F47" i="1"/>
  <c r="G47" i="1"/>
  <c r="E39" i="1"/>
  <c r="F39" i="1"/>
  <c r="G39" i="1"/>
  <c r="I39" i="1"/>
  <c r="G32" i="1"/>
  <c r="I32" i="1"/>
  <c r="E30" i="1"/>
  <c r="F30" i="1"/>
  <c r="E22" i="1"/>
  <c r="F22" i="1"/>
  <c r="G22" i="1"/>
  <c r="I22" i="1"/>
  <c r="G54" i="1"/>
  <c r="J54" i="1"/>
  <c r="E53" i="1"/>
  <c r="F53" i="1"/>
  <c r="G53" i="1"/>
  <c r="J53" i="1"/>
  <c r="G46" i="1"/>
  <c r="I46" i="1"/>
  <c r="E43" i="1"/>
  <c r="F43" i="1"/>
  <c r="E48" i="1"/>
  <c r="F48" i="1"/>
  <c r="G48" i="1"/>
  <c r="I48" i="1"/>
  <c r="E36" i="1"/>
  <c r="F36" i="1"/>
  <c r="G29" i="1"/>
  <c r="I29" i="1"/>
  <c r="E27" i="1"/>
  <c r="F27" i="1"/>
  <c r="G27" i="1"/>
  <c r="I27" i="1"/>
  <c r="G51" i="1"/>
  <c r="J51" i="1"/>
  <c r="E50" i="1"/>
  <c r="F50" i="1"/>
  <c r="E41" i="1"/>
  <c r="F41" i="1"/>
  <c r="G41" i="1"/>
  <c r="I41" i="1"/>
  <c r="E32" i="1"/>
  <c r="F32" i="1"/>
  <c r="E24" i="1"/>
  <c r="F24" i="1"/>
  <c r="G24" i="1"/>
  <c r="I24" i="1"/>
  <c r="G56" i="1"/>
  <c r="K56" i="1"/>
  <c r="E54" i="1"/>
  <c r="F54" i="1"/>
  <c r="G35" i="1"/>
  <c r="H35" i="1"/>
  <c r="E46" i="1"/>
  <c r="F46" i="1"/>
  <c r="E38" i="1"/>
  <c r="F38" i="1"/>
  <c r="G38" i="1"/>
  <c r="I38" i="1"/>
  <c r="G31" i="1"/>
  <c r="I31" i="1"/>
  <c r="E29" i="1"/>
  <c r="F29" i="1"/>
  <c r="G55" i="1"/>
  <c r="K55" i="1"/>
  <c r="E51" i="1"/>
  <c r="F51" i="1"/>
  <c r="E45" i="1"/>
  <c r="F45" i="1"/>
  <c r="G45" i="1"/>
  <c r="I45" i="1"/>
  <c r="G37" i="1"/>
  <c r="I37" i="1"/>
  <c r="E34" i="1"/>
  <c r="F34" i="1"/>
  <c r="G34" i="1"/>
  <c r="I34" i="1"/>
  <c r="E26" i="1"/>
  <c r="F26" i="1"/>
  <c r="G26" i="1"/>
  <c r="I26" i="1"/>
  <c r="E21" i="1"/>
  <c r="F21" i="1"/>
  <c r="G21" i="1"/>
  <c r="I21" i="1"/>
  <c r="I47" i="1"/>
  <c r="E41" i="2"/>
  <c r="E22" i="2"/>
  <c r="E18" i="2"/>
  <c r="E38" i="2"/>
  <c r="E30" i="2"/>
  <c r="E13" i="2"/>
  <c r="E26" i="2"/>
  <c r="E15" i="2"/>
  <c r="E43" i="2"/>
  <c r="E42" i="2"/>
  <c r="E36" i="2"/>
  <c r="E17" i="2"/>
  <c r="E40" i="2"/>
  <c r="E21" i="2"/>
  <c r="E35" i="2"/>
  <c r="E33" i="2"/>
  <c r="E39" i="2"/>
  <c r="E32" i="2"/>
  <c r="E11" i="2"/>
  <c r="E12" i="2"/>
  <c r="E27" i="2"/>
  <c r="E25" i="2"/>
  <c r="E23" i="2"/>
  <c r="C12" i="1"/>
  <c r="C11" i="1"/>
  <c r="O49" i="1" l="1"/>
  <c r="O50" i="1"/>
  <c r="O54" i="1"/>
  <c r="O51" i="1"/>
  <c r="O48" i="1"/>
  <c r="O53" i="1"/>
  <c r="C15" i="1"/>
  <c r="O56" i="1"/>
  <c r="O52" i="1"/>
  <c r="O55" i="1"/>
  <c r="O47" i="1"/>
  <c r="O46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<sst xmlns="http://schemas.openxmlformats.org/spreadsheetml/2006/main" count="398" uniqueCount="189">
  <si>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</si>
  <si>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</si>
  <si>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</si>
  <si>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</si>
  <si>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</si>
  <si>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</si>
  <si>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</si>
  <si>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</si>
  <si>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</si>
  <si>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</si>
  <si>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</si>
  <si>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</si>
  <si>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</si>
  <si>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</si>
  <si>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</si>
  <si>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</si>
  <si>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</si>
  <si>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</si>
  <si>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</si>
  <si>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</si>
  <si>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</si>
  <si>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</si>
  <si>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</si>
  <si>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</si>
  <si>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</si>
  <si>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</si>
  <si>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</si>
  <si>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</si>
  <si>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</si>
  <si>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</si>
  <si>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Bull.74</t>
  </si>
  <si>
    <t>B</t>
  </si>
  <si>
    <t>BBSAG Bull.81</t>
  </si>
  <si>
    <t>BBSAG Bull.84</t>
  </si>
  <si>
    <t>BBSAG Bull.99</t>
  </si>
  <si>
    <t>EA/SD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</si>
  <si>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</si>
  <si>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</si>
  <si>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</si>
  <si>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</si>
  <si>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</si>
  <si>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</si>
  <si>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# of data points:</t>
  </si>
  <si>
    <t>Next ToM</t>
  </si>
  <si>
    <t>Start of linear fit &gt;&gt;&gt;&gt;&gt;&gt;&gt;&gt;&gt;&gt;&gt;&gt;&gt;&gt;&gt;&gt;&gt;&gt;&gt;&gt;&gt;</t>
  </si>
  <si>
    <t>IBVS 5959</t>
  </si>
  <si>
    <t>I</t>
  </si>
  <si>
    <t>IBVS 5992</t>
  </si>
  <si>
    <t>IBVS 6010</t>
  </si>
  <si>
    <t>II</t>
  </si>
  <si>
    <t>EN Cyg / GSC 2150-4264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</si>
  <si>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</si>
  <si>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</si>
  <si>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</si>
  <si>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</si>
  <si>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</si>
  <si>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</si>
  <si>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</si>
  <si>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</si>
  <si>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</si>
  <si>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</si>
  <si>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</si>
  <si>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</si>
  <si>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</si>
  <si>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</si>
  <si>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2425181.328 </t>
  </si>
  <si>
    <t> 27.10.1927 19:52 </t>
  </si>
  <si>
    <t> -0.095 </t>
  </si>
  <si>
    <t>P </t>
  </si>
  <si>
    <t> P.Ahnert </t>
  </si>
  <si>
    <t> KVBB 24.72 </t>
  </si>
  <si>
    <t>2425298.686 </t>
  </si>
  <si>
    <t> 22.02.1928 04:27 </t>
  </si>
  <si>
    <t> -0.122 </t>
  </si>
  <si>
    <t>2425440.521 </t>
  </si>
  <si>
    <t> 13.07.1928 00:30 </t>
  </si>
  <si>
    <t> -0.035 </t>
  </si>
  <si>
    <t>2425491.371 </t>
  </si>
  <si>
    <t> 01.09.1928 20:54 </t>
  </si>
  <si>
    <t> -0.125 </t>
  </si>
  <si>
    <t>2425719.584 </t>
  </si>
  <si>
    <t> 18.04.1929 02:00 </t>
  </si>
  <si>
    <t> -0.038 </t>
  </si>
  <si>
    <t>2425739.468 </t>
  </si>
  <si>
    <t> 07.05.1929 23:13 </t>
  </si>
  <si>
    <t> -0.087 </t>
  </si>
  <si>
    <t>2429099.454 </t>
  </si>
  <si>
    <t> 19.07.1938 22:53 </t>
  </si>
  <si>
    <t> 0.031 </t>
  </si>
  <si>
    <t>2433542.330 </t>
  </si>
  <si>
    <t> 17.09.1950 19:55 </t>
  </si>
  <si>
    <t> A.A.Wachmann </t>
  </si>
  <si>
    <t> AHSB 6.1.73 </t>
  </si>
  <si>
    <t>2434122.620 </t>
  </si>
  <si>
    <t> 20.04.1952 02:52 </t>
  </si>
  <si>
    <t> 0.006 </t>
  </si>
  <si>
    <t>2434627.595 </t>
  </si>
  <si>
    <t> 07.09.1953 02:16 </t>
  </si>
  <si>
    <t> 0.005 </t>
  </si>
  <si>
    <t>2434634.230 </t>
  </si>
  <si>
    <t> 13.09.1953 17:31 </t>
  </si>
  <si>
    <t> -0.005 </t>
  </si>
  <si>
    <t>2434636.460 </t>
  </si>
  <si>
    <t> 15.09.1953 23:02 </t>
  </si>
  <si>
    <t> 0.010 </t>
  </si>
  <si>
    <t>2434707.318 </t>
  </si>
  <si>
    <t> 25.11.1953 19:37 </t>
  </si>
  <si>
    <t> -0.006 </t>
  </si>
  <si>
    <t>2435006.322 </t>
  </si>
  <si>
    <t> 20.09.1954 19:43 </t>
  </si>
  <si>
    <t> -0.001 </t>
  </si>
  <si>
    <t>2435066.130 </t>
  </si>
  <si>
    <t> 19.11.1954 15:07 </t>
  </si>
  <si>
    <t> 0.007 </t>
  </si>
  <si>
    <t>2435336.325 </t>
  </si>
  <si>
    <t> 16.08.1955 19:48 </t>
  </si>
  <si>
    <t>2435369.557 </t>
  </si>
  <si>
    <t> 19.09.1955 01:22 </t>
  </si>
  <si>
    <t>2435398.345 </t>
  </si>
  <si>
    <t> 17.10.1955 20:16 </t>
  </si>
  <si>
    <t> 0.000 </t>
  </si>
  <si>
    <t>2436813.610 </t>
  </si>
  <si>
    <t> 02.09.1959 02:38 </t>
  </si>
  <si>
    <t> 0.001 </t>
  </si>
  <si>
    <t>2436822.465 </t>
  </si>
  <si>
    <t> 10.09.1959 23:09 </t>
  </si>
  <si>
    <t>2436902.200 </t>
  </si>
  <si>
    <t> 29.11.1959 16:48 </t>
  </si>
  <si>
    <t>2446007.382 </t>
  </si>
  <si>
    <t> 02.11.1984 21:10 </t>
  </si>
  <si>
    <t> 0.094 </t>
  </si>
  <si>
    <t>V </t>
  </si>
  <si>
    <t> K.Locher </t>
  </si>
  <si>
    <t> BBS 74 </t>
  </si>
  <si>
    <t>2446687.472 </t>
  </si>
  <si>
    <t> 13.09.1986 23:19 </t>
  </si>
  <si>
    <t> 0.237 </t>
  </si>
  <si>
    <t> BBS 81 </t>
  </si>
  <si>
    <t>2446946.485 </t>
  </si>
  <si>
    <t> 30.05.1987 23:38 </t>
  </si>
  <si>
    <t> 0.117 </t>
  </si>
  <si>
    <t> BBS 84 </t>
  </si>
  <si>
    <t>2448532.304 </t>
  </si>
  <si>
    <t> 02.10.1991 19:17 </t>
  </si>
  <si>
    <t> 0.132 </t>
  </si>
  <si>
    <t> BBS 99 </t>
  </si>
  <si>
    <t>2454326.5230 </t>
  </si>
  <si>
    <t> 14.08.2007 00:33 </t>
  </si>
  <si>
    <t> 0.4059 </t>
  </si>
  <si>
    <t>C </t>
  </si>
  <si>
    <t>-I</t>
  </si>
  <si>
    <t> F.Agerer </t>
  </si>
  <si>
    <t>BAVM 193 </t>
  </si>
  <si>
    <t>2455068.5177 </t>
  </si>
  <si>
    <t> 25.08.2009 00:25 </t>
  </si>
  <si>
    <t>9031</t>
  </si>
  <si>
    <t> 0.4390 </t>
  </si>
  <si>
    <t>BAVM 212 </t>
  </si>
  <si>
    <t>2455376.3863 </t>
  </si>
  <si>
    <t> 28.06.2010 21:16 </t>
  </si>
  <si>
    <t>9170</t>
  </si>
  <si>
    <t> 0.4489 </t>
  </si>
  <si>
    <t>BAVM 214 </t>
  </si>
  <si>
    <t>2455387.4623 </t>
  </si>
  <si>
    <t> 09.07.2010 23:05 </t>
  </si>
  <si>
    <t>9175</t>
  </si>
  <si>
    <t> 0.4509 </t>
  </si>
  <si>
    <t>BAVM 215 </t>
  </si>
  <si>
    <t>2455398.5363 </t>
  </si>
  <si>
    <t> 21.07.2010 00:52 </t>
  </si>
  <si>
    <t>9180</t>
  </si>
  <si>
    <t> 0.4508 </t>
  </si>
  <si>
    <t>o</t>
  </si>
  <si>
    <t> U.Schmidt </t>
  </si>
  <si>
    <t>2455429.5445 </t>
  </si>
  <si>
    <t> 21.08.2010 01:04 </t>
  </si>
  <si>
    <t>9194</t>
  </si>
  <si>
    <t> 0.4516 </t>
  </si>
  <si>
    <t>2455707.5152 </t>
  </si>
  <si>
    <t> 26.05.2011 00:21 </t>
  </si>
  <si>
    <t>9319.5</t>
  </si>
  <si>
    <t> 0.4636 </t>
  </si>
  <si>
    <t>BAVM 220 </t>
  </si>
  <si>
    <t>2455730.7725 </t>
  </si>
  <si>
    <t> 18.06.2011 06:32 </t>
  </si>
  <si>
    <t>9330</t>
  </si>
  <si>
    <t> 0.4654 </t>
  </si>
  <si>
    <t> R.Diethelm </t>
  </si>
  <si>
    <t>IBVS 5992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</si>
</sst>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25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14" fillId="0" borderId="0" xfId="0" applyFont="1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5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35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35" fillId="0" borderId="0" xfId="42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EN Cyg - O-C Diagr.</a:t>
            </a:r>
          </a:p>
        </c:rich>
      </c:tx>
      <c:layout>
        <c:manualLayout>
          <c:xMode val="edge"/>
          <c:yMode val="edge"/>
          <c:x val="0.34090952473915964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4769252958613219"/>
          <c:w val="0.7706619345036626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-4463</c:v>
                </c:pt>
                <c:pt idx="1">
                  <c:v>-4410</c:v>
                </c:pt>
                <c:pt idx="2">
                  <c:v>-4346</c:v>
                </c:pt>
                <c:pt idx="3">
                  <c:v>-4323</c:v>
                </c:pt>
                <c:pt idx="4">
                  <c:v>-4220</c:v>
                </c:pt>
                <c:pt idx="5">
                  <c:v>-4211</c:v>
                </c:pt>
                <c:pt idx="6">
                  <c:v>-2694</c:v>
                </c:pt>
                <c:pt idx="7">
                  <c:v>-688</c:v>
                </c:pt>
                <c:pt idx="8">
                  <c:v>-426</c:v>
                </c:pt>
                <c:pt idx="9">
                  <c:v>-198</c:v>
                </c:pt>
                <c:pt idx="10">
                  <c:v>-195</c:v>
                </c:pt>
                <c:pt idx="11">
                  <c:v>-194</c:v>
                </c:pt>
                <c:pt idx="12">
                  <c:v>-162</c:v>
                </c:pt>
                <c:pt idx="13">
                  <c:v>-27</c:v>
                </c:pt>
                <c:pt idx="14">
                  <c:v>0</c:v>
                </c:pt>
                <c:pt idx="15">
                  <c:v>0</c:v>
                </c:pt>
                <c:pt idx="16">
                  <c:v>122</c:v>
                </c:pt>
                <c:pt idx="17">
                  <c:v>137</c:v>
                </c:pt>
                <c:pt idx="18">
                  <c:v>150</c:v>
                </c:pt>
                <c:pt idx="19">
                  <c:v>789</c:v>
                </c:pt>
                <c:pt idx="20">
                  <c:v>793</c:v>
                </c:pt>
                <c:pt idx="21">
                  <c:v>829</c:v>
                </c:pt>
                <c:pt idx="22">
                  <c:v>4940</c:v>
                </c:pt>
                <c:pt idx="23">
                  <c:v>5243</c:v>
                </c:pt>
                <c:pt idx="24">
                  <c:v>5247</c:v>
                </c:pt>
                <c:pt idx="25">
                  <c:v>5364</c:v>
                </c:pt>
                <c:pt idx="26">
                  <c:v>6080</c:v>
                </c:pt>
                <c:pt idx="27">
                  <c:v>8696</c:v>
                </c:pt>
                <c:pt idx="28">
                  <c:v>9031</c:v>
                </c:pt>
                <c:pt idx="29">
                  <c:v>9170</c:v>
                </c:pt>
                <c:pt idx="30">
                  <c:v>9175</c:v>
                </c:pt>
                <c:pt idx="31">
                  <c:v>9180</c:v>
                </c:pt>
                <c:pt idx="32">
                  <c:v>9194</c:v>
                </c:pt>
                <c:pt idx="33">
                  <c:v>9319.5</c:v>
                </c:pt>
                <c:pt idx="34">
                  <c:v>9330</c:v>
                </c:pt>
                <c:pt idx="35">
                  <c:v>10157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06-4C8B-B376-F2B4A88F87F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1.1999999999999999E-3</c:v>
                  </c:pt>
                  <c:pt idx="32">
                    <c:v>1E-3</c:v>
                  </c:pt>
                  <c:pt idx="33">
                    <c:v>7.1999999999999998E-3</c:v>
                  </c:pt>
                  <c:pt idx="34">
                    <c:v>6.9999999999999999E-4</c:v>
                  </c:pt>
                  <c:pt idx="35">
                    <c:v>2.9999999999999997E-4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1.1999999999999999E-3</c:v>
                  </c:pt>
                  <c:pt idx="32">
                    <c:v>1E-3</c:v>
                  </c:pt>
                  <c:pt idx="33">
                    <c:v>7.1999999999999998E-3</c:v>
                  </c:pt>
                  <c:pt idx="34">
                    <c:v>6.9999999999999999E-4</c:v>
                  </c:pt>
                  <c:pt idx="3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-4463</c:v>
                </c:pt>
                <c:pt idx="1">
                  <c:v>-4410</c:v>
                </c:pt>
                <c:pt idx="2">
                  <c:v>-4346</c:v>
                </c:pt>
                <c:pt idx="3">
                  <c:v>-4323</c:v>
                </c:pt>
                <c:pt idx="4">
                  <c:v>-4220</c:v>
                </c:pt>
                <c:pt idx="5">
                  <c:v>-4211</c:v>
                </c:pt>
                <c:pt idx="6">
                  <c:v>-2694</c:v>
                </c:pt>
                <c:pt idx="7">
                  <c:v>-688</c:v>
                </c:pt>
                <c:pt idx="8">
                  <c:v>-426</c:v>
                </c:pt>
                <c:pt idx="9">
                  <c:v>-198</c:v>
                </c:pt>
                <c:pt idx="10">
                  <c:v>-195</c:v>
                </c:pt>
                <c:pt idx="11">
                  <c:v>-194</c:v>
                </c:pt>
                <c:pt idx="12">
                  <c:v>-162</c:v>
                </c:pt>
                <c:pt idx="13">
                  <c:v>-27</c:v>
                </c:pt>
                <c:pt idx="14">
                  <c:v>0</c:v>
                </c:pt>
                <c:pt idx="15">
                  <c:v>0</c:v>
                </c:pt>
                <c:pt idx="16">
                  <c:v>122</c:v>
                </c:pt>
                <c:pt idx="17">
                  <c:v>137</c:v>
                </c:pt>
                <c:pt idx="18">
                  <c:v>150</c:v>
                </c:pt>
                <c:pt idx="19">
                  <c:v>789</c:v>
                </c:pt>
                <c:pt idx="20">
                  <c:v>793</c:v>
                </c:pt>
                <c:pt idx="21">
                  <c:v>829</c:v>
                </c:pt>
                <c:pt idx="22">
                  <c:v>4940</c:v>
                </c:pt>
                <c:pt idx="23">
                  <c:v>5243</c:v>
                </c:pt>
                <c:pt idx="24">
                  <c:v>5247</c:v>
                </c:pt>
                <c:pt idx="25">
                  <c:v>5364</c:v>
                </c:pt>
                <c:pt idx="26">
                  <c:v>6080</c:v>
                </c:pt>
                <c:pt idx="27">
                  <c:v>8696</c:v>
                </c:pt>
                <c:pt idx="28">
                  <c:v>9031</c:v>
                </c:pt>
                <c:pt idx="29">
                  <c:v>9170</c:v>
                </c:pt>
                <c:pt idx="30">
                  <c:v>9175</c:v>
                </c:pt>
                <c:pt idx="31">
                  <c:v>9180</c:v>
                </c:pt>
                <c:pt idx="32">
                  <c:v>9194</c:v>
                </c:pt>
                <c:pt idx="33">
                  <c:v>9319.5</c:v>
                </c:pt>
                <c:pt idx="34">
                  <c:v>9330</c:v>
                </c:pt>
                <c:pt idx="35">
                  <c:v>10157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-9.4712009999057045E-2</c:v>
                </c:pt>
                <c:pt idx="1">
                  <c:v>-0.12168069999825093</c:v>
                </c:pt>
                <c:pt idx="2">
                  <c:v>-3.4567419999802951E-2</c:v>
                </c:pt>
                <c:pt idx="3">
                  <c:v>-0.12521420999837574</c:v>
                </c:pt>
                <c:pt idx="4">
                  <c:v>-3.7719399999332381E-2</c:v>
                </c:pt>
                <c:pt idx="5">
                  <c:v>-8.701596999890171E-2</c:v>
                </c:pt>
                <c:pt idx="6">
                  <c:v>3.1106620001082774E-2</c:v>
                </c:pt>
                <c:pt idx="7">
                  <c:v>-3.2177600005525164E-3</c:v>
                </c:pt>
                <c:pt idx="8">
                  <c:v>6.3709800015203655E-3</c:v>
                </c:pt>
                <c:pt idx="9">
                  <c:v>4.5245400033309124E-3</c:v>
                </c:pt>
                <c:pt idx="10">
                  <c:v>-4.9076499999500811E-3</c:v>
                </c:pt>
                <c:pt idx="11">
                  <c:v>1.0281620001478586E-2</c:v>
                </c:pt>
                <c:pt idx="12">
                  <c:v>-5.6617399968672544E-3</c:v>
                </c:pt>
                <c:pt idx="13">
                  <c:v>-1.1102900025434792E-3</c:v>
                </c:pt>
                <c:pt idx="15">
                  <c:v>6.9999999977881089E-3</c:v>
                </c:pt>
                <c:pt idx="16">
                  <c:v>-4.9090600005001761E-3</c:v>
                </c:pt>
                <c:pt idx="17">
                  <c:v>4.9299899983452633E-3</c:v>
                </c:pt>
                <c:pt idx="18">
                  <c:v>3.9050000486895442E-4</c:v>
                </c:pt>
                <c:pt idx="19">
                  <c:v>1.3340299992705695E-3</c:v>
                </c:pt>
                <c:pt idx="20">
                  <c:v>-2.9088900046190247E-3</c:v>
                </c:pt>
                <c:pt idx="21">
                  <c:v>-1.0951700023724698E-3</c:v>
                </c:pt>
                <c:pt idx="22">
                  <c:v>9.3993800001044292E-2</c:v>
                </c:pt>
                <c:pt idx="23">
                  <c:v>9.6342609998828266E-2</c:v>
                </c:pt>
                <c:pt idx="24">
                  <c:v>0.23709969000628917</c:v>
                </c:pt>
                <c:pt idx="25">
                  <c:v>0.11724428000161424</c:v>
                </c:pt>
                <c:pt idx="26">
                  <c:v>0.13176159999420634</c:v>
                </c:pt>
                <c:pt idx="27">
                  <c:v>0.40589192000334151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06-4C8B-B376-F2B4A88F87F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-4463</c:v>
                </c:pt>
                <c:pt idx="1">
                  <c:v>-4410</c:v>
                </c:pt>
                <c:pt idx="2">
                  <c:v>-4346</c:v>
                </c:pt>
                <c:pt idx="3">
                  <c:v>-4323</c:v>
                </c:pt>
                <c:pt idx="4">
                  <c:v>-4220</c:v>
                </c:pt>
                <c:pt idx="5">
                  <c:v>-4211</c:v>
                </c:pt>
                <c:pt idx="6">
                  <c:v>-2694</c:v>
                </c:pt>
                <c:pt idx="7">
                  <c:v>-688</c:v>
                </c:pt>
                <c:pt idx="8">
                  <c:v>-426</c:v>
                </c:pt>
                <c:pt idx="9">
                  <c:v>-198</c:v>
                </c:pt>
                <c:pt idx="10">
                  <c:v>-195</c:v>
                </c:pt>
                <c:pt idx="11">
                  <c:v>-194</c:v>
                </c:pt>
                <c:pt idx="12">
                  <c:v>-162</c:v>
                </c:pt>
                <c:pt idx="13">
                  <c:v>-27</c:v>
                </c:pt>
                <c:pt idx="14">
                  <c:v>0</c:v>
                </c:pt>
                <c:pt idx="15">
                  <c:v>0</c:v>
                </c:pt>
                <c:pt idx="16">
                  <c:v>122</c:v>
                </c:pt>
                <c:pt idx="17">
                  <c:v>137</c:v>
                </c:pt>
                <c:pt idx="18">
                  <c:v>150</c:v>
                </c:pt>
                <c:pt idx="19">
                  <c:v>789</c:v>
                </c:pt>
                <c:pt idx="20">
                  <c:v>793</c:v>
                </c:pt>
                <c:pt idx="21">
                  <c:v>829</c:v>
                </c:pt>
                <c:pt idx="22">
                  <c:v>4940</c:v>
                </c:pt>
                <c:pt idx="23">
                  <c:v>5243</c:v>
                </c:pt>
                <c:pt idx="24">
                  <c:v>5247</c:v>
                </c:pt>
                <c:pt idx="25">
                  <c:v>5364</c:v>
                </c:pt>
                <c:pt idx="26">
                  <c:v>6080</c:v>
                </c:pt>
                <c:pt idx="27">
                  <c:v>8696</c:v>
                </c:pt>
                <c:pt idx="28">
                  <c:v>9031</c:v>
                </c:pt>
                <c:pt idx="29">
                  <c:v>9170</c:v>
                </c:pt>
                <c:pt idx="30">
                  <c:v>9175</c:v>
                </c:pt>
                <c:pt idx="31">
                  <c:v>9180</c:v>
                </c:pt>
                <c:pt idx="32">
                  <c:v>9194</c:v>
                </c:pt>
                <c:pt idx="33">
                  <c:v>9319.5</c:v>
                </c:pt>
                <c:pt idx="34">
                  <c:v>9330</c:v>
                </c:pt>
                <c:pt idx="35">
                  <c:v>10157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9">
                  <c:v>0.44890590000431985</c:v>
                </c:pt>
                <c:pt idx="30">
                  <c:v>0.4508522499963874</c:v>
                </c:pt>
                <c:pt idx="31">
                  <c:v>0.45079860000259941</c:v>
                </c:pt>
                <c:pt idx="32">
                  <c:v>0.45164838000346208</c:v>
                </c:pt>
                <c:pt idx="33">
                  <c:v>0.46360176499729278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06-4C8B-B376-F2B4A88F87F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1.1999999999999999E-3</c:v>
                  </c:pt>
                  <c:pt idx="32">
                    <c:v>1E-3</c:v>
                  </c:pt>
                  <c:pt idx="33">
                    <c:v>7.1999999999999998E-3</c:v>
                  </c:pt>
                  <c:pt idx="34">
                    <c:v>6.9999999999999999E-4</c:v>
                  </c:pt>
                  <c:pt idx="35">
                    <c:v>2.9999999999999997E-4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1.1999999999999999E-3</c:v>
                  </c:pt>
                  <c:pt idx="32">
                    <c:v>1E-3</c:v>
                  </c:pt>
                  <c:pt idx="33">
                    <c:v>7.1999999999999998E-3</c:v>
                  </c:pt>
                  <c:pt idx="34">
                    <c:v>6.9999999999999999E-4</c:v>
                  </c:pt>
                  <c:pt idx="3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-4463</c:v>
                </c:pt>
                <c:pt idx="1">
                  <c:v>-4410</c:v>
                </c:pt>
                <c:pt idx="2">
                  <c:v>-4346</c:v>
                </c:pt>
                <c:pt idx="3">
                  <c:v>-4323</c:v>
                </c:pt>
                <c:pt idx="4">
                  <c:v>-4220</c:v>
                </c:pt>
                <c:pt idx="5">
                  <c:v>-4211</c:v>
                </c:pt>
                <c:pt idx="6">
                  <c:v>-2694</c:v>
                </c:pt>
                <c:pt idx="7">
                  <c:v>-688</c:v>
                </c:pt>
                <c:pt idx="8">
                  <c:v>-426</c:v>
                </c:pt>
                <c:pt idx="9">
                  <c:v>-198</c:v>
                </c:pt>
                <c:pt idx="10">
                  <c:v>-195</c:v>
                </c:pt>
                <c:pt idx="11">
                  <c:v>-194</c:v>
                </c:pt>
                <c:pt idx="12">
                  <c:v>-162</c:v>
                </c:pt>
                <c:pt idx="13">
                  <c:v>-27</c:v>
                </c:pt>
                <c:pt idx="14">
                  <c:v>0</c:v>
                </c:pt>
                <c:pt idx="15">
                  <c:v>0</c:v>
                </c:pt>
                <c:pt idx="16">
                  <c:v>122</c:v>
                </c:pt>
                <c:pt idx="17">
                  <c:v>137</c:v>
                </c:pt>
                <c:pt idx="18">
                  <c:v>150</c:v>
                </c:pt>
                <c:pt idx="19">
                  <c:v>789</c:v>
                </c:pt>
                <c:pt idx="20">
                  <c:v>793</c:v>
                </c:pt>
                <c:pt idx="21">
                  <c:v>829</c:v>
                </c:pt>
                <c:pt idx="22">
                  <c:v>4940</c:v>
                </c:pt>
                <c:pt idx="23">
                  <c:v>5243</c:v>
                </c:pt>
                <c:pt idx="24">
                  <c:v>5247</c:v>
                </c:pt>
                <c:pt idx="25">
                  <c:v>5364</c:v>
                </c:pt>
                <c:pt idx="26">
                  <c:v>6080</c:v>
                </c:pt>
                <c:pt idx="27">
                  <c:v>8696</c:v>
                </c:pt>
                <c:pt idx="28">
                  <c:v>9031</c:v>
                </c:pt>
                <c:pt idx="29">
                  <c:v>9170</c:v>
                </c:pt>
                <c:pt idx="30">
                  <c:v>9175</c:v>
                </c:pt>
                <c:pt idx="31">
                  <c:v>9180</c:v>
                </c:pt>
                <c:pt idx="32">
                  <c:v>9194</c:v>
                </c:pt>
                <c:pt idx="33">
                  <c:v>9319.5</c:v>
                </c:pt>
                <c:pt idx="34">
                  <c:v>9330</c:v>
                </c:pt>
                <c:pt idx="35">
                  <c:v>10157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8">
                  <c:v>0.43899737000174355</c:v>
                </c:pt>
                <c:pt idx="34">
                  <c:v>0.46538909999799216</c:v>
                </c:pt>
                <c:pt idx="35">
                  <c:v>0.48961539000447374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06-4C8B-B376-F2B4A88F87F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1.1999999999999999E-3</c:v>
                  </c:pt>
                  <c:pt idx="32">
                    <c:v>1E-3</c:v>
                  </c:pt>
                  <c:pt idx="33">
                    <c:v>7.1999999999999998E-3</c:v>
                  </c:pt>
                  <c:pt idx="34">
                    <c:v>6.9999999999999999E-4</c:v>
                  </c:pt>
                  <c:pt idx="35">
                    <c:v>2.9999999999999997E-4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1.1999999999999999E-3</c:v>
                  </c:pt>
                  <c:pt idx="32">
                    <c:v>1E-3</c:v>
                  </c:pt>
                  <c:pt idx="33">
                    <c:v>7.1999999999999998E-3</c:v>
                  </c:pt>
                  <c:pt idx="34">
                    <c:v>6.9999999999999999E-4</c:v>
                  </c:pt>
                  <c:pt idx="3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-4463</c:v>
                </c:pt>
                <c:pt idx="1">
                  <c:v>-4410</c:v>
                </c:pt>
                <c:pt idx="2">
                  <c:v>-4346</c:v>
                </c:pt>
                <c:pt idx="3">
                  <c:v>-4323</c:v>
                </c:pt>
                <c:pt idx="4">
                  <c:v>-4220</c:v>
                </c:pt>
                <c:pt idx="5">
                  <c:v>-4211</c:v>
                </c:pt>
                <c:pt idx="6">
                  <c:v>-2694</c:v>
                </c:pt>
                <c:pt idx="7">
                  <c:v>-688</c:v>
                </c:pt>
                <c:pt idx="8">
                  <c:v>-426</c:v>
                </c:pt>
                <c:pt idx="9">
                  <c:v>-198</c:v>
                </c:pt>
                <c:pt idx="10">
                  <c:v>-195</c:v>
                </c:pt>
                <c:pt idx="11">
                  <c:v>-194</c:v>
                </c:pt>
                <c:pt idx="12">
                  <c:v>-162</c:v>
                </c:pt>
                <c:pt idx="13">
                  <c:v>-27</c:v>
                </c:pt>
                <c:pt idx="14">
                  <c:v>0</c:v>
                </c:pt>
                <c:pt idx="15">
                  <c:v>0</c:v>
                </c:pt>
                <c:pt idx="16">
                  <c:v>122</c:v>
                </c:pt>
                <c:pt idx="17">
                  <c:v>137</c:v>
                </c:pt>
                <c:pt idx="18">
                  <c:v>150</c:v>
                </c:pt>
                <c:pt idx="19">
                  <c:v>789</c:v>
                </c:pt>
                <c:pt idx="20">
                  <c:v>793</c:v>
                </c:pt>
                <c:pt idx="21">
                  <c:v>829</c:v>
                </c:pt>
                <c:pt idx="22">
                  <c:v>4940</c:v>
                </c:pt>
                <c:pt idx="23">
                  <c:v>5243</c:v>
                </c:pt>
                <c:pt idx="24">
                  <c:v>5247</c:v>
                </c:pt>
                <c:pt idx="25">
                  <c:v>5364</c:v>
                </c:pt>
                <c:pt idx="26">
                  <c:v>6080</c:v>
                </c:pt>
                <c:pt idx="27">
                  <c:v>8696</c:v>
                </c:pt>
                <c:pt idx="28">
                  <c:v>9031</c:v>
                </c:pt>
                <c:pt idx="29">
                  <c:v>9170</c:v>
                </c:pt>
                <c:pt idx="30">
                  <c:v>9175</c:v>
                </c:pt>
                <c:pt idx="31">
                  <c:v>9180</c:v>
                </c:pt>
                <c:pt idx="32">
                  <c:v>9194</c:v>
                </c:pt>
                <c:pt idx="33">
                  <c:v>9319.5</c:v>
                </c:pt>
                <c:pt idx="34">
                  <c:v>9330</c:v>
                </c:pt>
                <c:pt idx="35">
                  <c:v>10157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06-4C8B-B376-F2B4A88F87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1.1999999999999999E-3</c:v>
                  </c:pt>
                  <c:pt idx="32">
                    <c:v>1E-3</c:v>
                  </c:pt>
                  <c:pt idx="33">
                    <c:v>7.1999999999999998E-3</c:v>
                  </c:pt>
                  <c:pt idx="34">
                    <c:v>6.9999999999999999E-4</c:v>
                  </c:pt>
                  <c:pt idx="35">
                    <c:v>2.9999999999999997E-4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1.1999999999999999E-3</c:v>
                  </c:pt>
                  <c:pt idx="32">
                    <c:v>1E-3</c:v>
                  </c:pt>
                  <c:pt idx="33">
                    <c:v>7.1999999999999998E-3</c:v>
                  </c:pt>
                  <c:pt idx="34">
                    <c:v>6.9999999999999999E-4</c:v>
                  </c:pt>
                  <c:pt idx="3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-4463</c:v>
                </c:pt>
                <c:pt idx="1">
                  <c:v>-4410</c:v>
                </c:pt>
                <c:pt idx="2">
                  <c:v>-4346</c:v>
                </c:pt>
                <c:pt idx="3">
                  <c:v>-4323</c:v>
                </c:pt>
                <c:pt idx="4">
                  <c:v>-4220</c:v>
                </c:pt>
                <c:pt idx="5">
                  <c:v>-4211</c:v>
                </c:pt>
                <c:pt idx="6">
                  <c:v>-2694</c:v>
                </c:pt>
                <c:pt idx="7">
                  <c:v>-688</c:v>
                </c:pt>
                <c:pt idx="8">
                  <c:v>-426</c:v>
                </c:pt>
                <c:pt idx="9">
                  <c:v>-198</c:v>
                </c:pt>
                <c:pt idx="10">
                  <c:v>-195</c:v>
                </c:pt>
                <c:pt idx="11">
                  <c:v>-194</c:v>
                </c:pt>
                <c:pt idx="12">
                  <c:v>-162</c:v>
                </c:pt>
                <c:pt idx="13">
                  <c:v>-27</c:v>
                </c:pt>
                <c:pt idx="14">
                  <c:v>0</c:v>
                </c:pt>
                <c:pt idx="15">
                  <c:v>0</c:v>
                </c:pt>
                <c:pt idx="16">
                  <c:v>122</c:v>
                </c:pt>
                <c:pt idx="17">
                  <c:v>137</c:v>
                </c:pt>
                <c:pt idx="18">
                  <c:v>150</c:v>
                </c:pt>
                <c:pt idx="19">
                  <c:v>789</c:v>
                </c:pt>
                <c:pt idx="20">
                  <c:v>793</c:v>
                </c:pt>
                <c:pt idx="21">
                  <c:v>829</c:v>
                </c:pt>
                <c:pt idx="22">
                  <c:v>4940</c:v>
                </c:pt>
                <c:pt idx="23">
                  <c:v>5243</c:v>
                </c:pt>
                <c:pt idx="24">
                  <c:v>5247</c:v>
                </c:pt>
                <c:pt idx="25">
                  <c:v>5364</c:v>
                </c:pt>
                <c:pt idx="26">
                  <c:v>6080</c:v>
                </c:pt>
                <c:pt idx="27">
                  <c:v>8696</c:v>
                </c:pt>
                <c:pt idx="28">
                  <c:v>9031</c:v>
                </c:pt>
                <c:pt idx="29">
                  <c:v>9170</c:v>
                </c:pt>
                <c:pt idx="30">
                  <c:v>9175</c:v>
                </c:pt>
                <c:pt idx="31">
                  <c:v>9180</c:v>
                </c:pt>
                <c:pt idx="32">
                  <c:v>9194</c:v>
                </c:pt>
                <c:pt idx="33">
                  <c:v>9319.5</c:v>
                </c:pt>
                <c:pt idx="34">
                  <c:v>9330</c:v>
                </c:pt>
                <c:pt idx="35">
                  <c:v>10157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06-4C8B-B376-F2B4A88F87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1.1999999999999999E-3</c:v>
                  </c:pt>
                  <c:pt idx="32">
                    <c:v>1E-3</c:v>
                  </c:pt>
                  <c:pt idx="33">
                    <c:v>7.1999999999999998E-3</c:v>
                  </c:pt>
                  <c:pt idx="34">
                    <c:v>6.9999999999999999E-4</c:v>
                  </c:pt>
                  <c:pt idx="35">
                    <c:v>2.9999999999999997E-4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1.1999999999999999E-3</c:v>
                  </c:pt>
                  <c:pt idx="32">
                    <c:v>1E-3</c:v>
                  </c:pt>
                  <c:pt idx="33">
                    <c:v>7.1999999999999998E-3</c:v>
                  </c:pt>
                  <c:pt idx="34">
                    <c:v>6.9999999999999999E-4</c:v>
                  </c:pt>
                  <c:pt idx="3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-4463</c:v>
                </c:pt>
                <c:pt idx="1">
                  <c:v>-4410</c:v>
                </c:pt>
                <c:pt idx="2">
                  <c:v>-4346</c:v>
                </c:pt>
                <c:pt idx="3">
                  <c:v>-4323</c:v>
                </c:pt>
                <c:pt idx="4">
                  <c:v>-4220</c:v>
                </c:pt>
                <c:pt idx="5">
                  <c:v>-4211</c:v>
                </c:pt>
                <c:pt idx="6">
                  <c:v>-2694</c:v>
                </c:pt>
                <c:pt idx="7">
                  <c:v>-688</c:v>
                </c:pt>
                <c:pt idx="8">
                  <c:v>-426</c:v>
                </c:pt>
                <c:pt idx="9">
                  <c:v>-198</c:v>
                </c:pt>
                <c:pt idx="10">
                  <c:v>-195</c:v>
                </c:pt>
                <c:pt idx="11">
                  <c:v>-194</c:v>
                </c:pt>
                <c:pt idx="12">
                  <c:v>-162</c:v>
                </c:pt>
                <c:pt idx="13">
                  <c:v>-27</c:v>
                </c:pt>
                <c:pt idx="14">
                  <c:v>0</c:v>
                </c:pt>
                <c:pt idx="15">
                  <c:v>0</c:v>
                </c:pt>
                <c:pt idx="16">
                  <c:v>122</c:v>
                </c:pt>
                <c:pt idx="17">
                  <c:v>137</c:v>
                </c:pt>
                <c:pt idx="18">
                  <c:v>150</c:v>
                </c:pt>
                <c:pt idx="19">
                  <c:v>789</c:v>
                </c:pt>
                <c:pt idx="20">
                  <c:v>793</c:v>
                </c:pt>
                <c:pt idx="21">
                  <c:v>829</c:v>
                </c:pt>
                <c:pt idx="22">
                  <c:v>4940</c:v>
                </c:pt>
                <c:pt idx="23">
                  <c:v>5243</c:v>
                </c:pt>
                <c:pt idx="24">
                  <c:v>5247</c:v>
                </c:pt>
                <c:pt idx="25">
                  <c:v>5364</c:v>
                </c:pt>
                <c:pt idx="26">
                  <c:v>6080</c:v>
                </c:pt>
                <c:pt idx="27">
                  <c:v>8696</c:v>
                </c:pt>
                <c:pt idx="28">
                  <c:v>9031</c:v>
                </c:pt>
                <c:pt idx="29">
                  <c:v>9170</c:v>
                </c:pt>
                <c:pt idx="30">
                  <c:v>9175</c:v>
                </c:pt>
                <c:pt idx="31">
                  <c:v>9180</c:v>
                </c:pt>
                <c:pt idx="32">
                  <c:v>9194</c:v>
                </c:pt>
                <c:pt idx="33">
                  <c:v>9319.5</c:v>
                </c:pt>
                <c:pt idx="34">
                  <c:v>9330</c:v>
                </c:pt>
                <c:pt idx="35">
                  <c:v>10157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06-4C8B-B376-F2B4A88F87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-4463</c:v>
                </c:pt>
                <c:pt idx="1">
                  <c:v>-4410</c:v>
                </c:pt>
                <c:pt idx="2">
                  <c:v>-4346</c:v>
                </c:pt>
                <c:pt idx="3">
                  <c:v>-4323</c:v>
                </c:pt>
                <c:pt idx="4">
                  <c:v>-4220</c:v>
                </c:pt>
                <c:pt idx="5">
                  <c:v>-4211</c:v>
                </c:pt>
                <c:pt idx="6">
                  <c:v>-2694</c:v>
                </c:pt>
                <c:pt idx="7">
                  <c:v>-688</c:v>
                </c:pt>
                <c:pt idx="8">
                  <c:v>-426</c:v>
                </c:pt>
                <c:pt idx="9">
                  <c:v>-198</c:v>
                </c:pt>
                <c:pt idx="10">
                  <c:v>-195</c:v>
                </c:pt>
                <c:pt idx="11">
                  <c:v>-194</c:v>
                </c:pt>
                <c:pt idx="12">
                  <c:v>-162</c:v>
                </c:pt>
                <c:pt idx="13">
                  <c:v>-27</c:v>
                </c:pt>
                <c:pt idx="14">
                  <c:v>0</c:v>
                </c:pt>
                <c:pt idx="15">
                  <c:v>0</c:v>
                </c:pt>
                <c:pt idx="16">
                  <c:v>122</c:v>
                </c:pt>
                <c:pt idx="17">
                  <c:v>137</c:v>
                </c:pt>
                <c:pt idx="18">
                  <c:v>150</c:v>
                </c:pt>
                <c:pt idx="19">
                  <c:v>789</c:v>
                </c:pt>
                <c:pt idx="20">
                  <c:v>793</c:v>
                </c:pt>
                <c:pt idx="21">
                  <c:v>829</c:v>
                </c:pt>
                <c:pt idx="22">
                  <c:v>4940</c:v>
                </c:pt>
                <c:pt idx="23">
                  <c:v>5243</c:v>
                </c:pt>
                <c:pt idx="24">
                  <c:v>5247</c:v>
                </c:pt>
                <c:pt idx="25">
                  <c:v>5364</c:v>
                </c:pt>
                <c:pt idx="26">
                  <c:v>6080</c:v>
                </c:pt>
                <c:pt idx="27">
                  <c:v>8696</c:v>
                </c:pt>
                <c:pt idx="28">
                  <c:v>9031</c:v>
                </c:pt>
                <c:pt idx="29">
                  <c:v>9170</c:v>
                </c:pt>
                <c:pt idx="30">
                  <c:v>9175</c:v>
                </c:pt>
                <c:pt idx="31">
                  <c:v>9180</c:v>
                </c:pt>
                <c:pt idx="32">
                  <c:v>9194</c:v>
                </c:pt>
                <c:pt idx="33">
                  <c:v>9319.5</c:v>
                </c:pt>
                <c:pt idx="34">
                  <c:v>9330</c:v>
                </c:pt>
                <c:pt idx="35">
                  <c:v>10157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25">
                  <c:v>7.9398325247835078E-2</c:v>
                </c:pt>
                <c:pt idx="26">
                  <c:v>0.14767292019438316</c:v>
                </c:pt>
                <c:pt idx="27">
                  <c:v>0.39712311625607277</c:v>
                </c:pt>
                <c:pt idx="28">
                  <c:v>0.42906723540005831</c:v>
                </c:pt>
                <c:pt idx="29">
                  <c:v>0.44232166095532388</c:v>
                </c:pt>
                <c:pt idx="30">
                  <c:v>0.4427984388529953</c:v>
                </c:pt>
                <c:pt idx="31">
                  <c:v>0.44327521675066672</c:v>
                </c:pt>
                <c:pt idx="32">
                  <c:v>0.44461019486414677</c:v>
                </c:pt>
                <c:pt idx="33">
                  <c:v>0.45657732009569951</c:v>
                </c:pt>
                <c:pt idx="34">
                  <c:v>0.45757855368080946</c:v>
                </c:pt>
                <c:pt idx="35">
                  <c:v>0.53643761795566325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06-4C8B-B376-F2B4A88F8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4245104"/>
        <c:axId val="1"/>
      </c:scatterChart>
      <c:valAx>
        <c:axId val="604245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52935944990341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245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39671590637947"/>
          <c:y val="0.92000129214617399"/>
          <c:w val="0.8636372312965011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</xdr:colOff>
      <xdr:row>0</xdr:row>
      <xdr:rowOff>0</xdr:rowOff>
    </xdr:from>
    <xdr:to>
      <xdr:col>20</xdr:col>
      <xdr:colOff>47624</xdr:colOff>
      <xdr:row>18</xdr:row>
      <xdr:rowOff>47625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0043D08-404B-ABEB-E647-A9BFCA2BF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992" TargetMode="External"/><Relationship Id="rId3" Type="http://schemas.openxmlformats.org/officeDocument/2006/relationships/hyperlink" Target="http://www.bav-astro.de/sfs/BAVM_link.php?BAVMnr=214" TargetMode="External"/><Relationship Id="rId7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bav-astro.de/sfs/BAVM_link.php?BAVMnr=212" TargetMode="External"/><Relationship Id="rId1" Type="http://schemas.openxmlformats.org/officeDocument/2006/relationships/hyperlink" Target="http://www.bav-astro.de/sfs/BAVM_link.php?BAVMnr=193" TargetMode="External"/><Relationship Id="rId6" Type="http://schemas.openxmlformats.org/officeDocument/2006/relationships/hyperlink" Target="http://www.bav-astro.de/sfs/BAVM_link.php?BAVMnr=215" TargetMode="External"/><Relationship Id="rId5" Type="http://schemas.openxmlformats.org/officeDocument/2006/relationships/hyperlink" Target="http://www.bav-astro.de/sfs/BAVM_link.php?BAVMnr=214" TargetMode="External"/><Relationship Id="rId4" Type="http://schemas.openxmlformats.org/officeDocument/2006/relationships/hyperlink" Target="http://www.bav-astro.de/sfs/BAVM_link.php?BAVMnr=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tabSelected="1" workbookViewId="0">
      <pane xSplit="14" ySplit="22" topLeftCell="O41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50</v>
      </c>
    </row>
    <row r="2" spans="1:6">
      <c r="A2" t="s">
        <v>25</v>
      </c>
      <c r="B2" s="10" t="s">
        <v>35</v>
      </c>
    </row>
    <row r="4" spans="1:6" ht="14.25" thickTop="1" thickBot="1">
      <c r="A4" s="7" t="s">
        <v>1</v>
      </c>
      <c r="C4" s="3">
        <v>35066.123</v>
      </c>
      <c r="D4" s="4">
        <v>2.2148107299999999</v>
      </c>
    </row>
    <row r="5" spans="1:6" ht="13.5" thickTop="1">
      <c r="A5" s="11" t="s">
        <v>36</v>
      </c>
      <c r="B5" s="12"/>
      <c r="C5" s="13">
        <v>-9.5</v>
      </c>
      <c r="D5" s="12" t="s">
        <v>37</v>
      </c>
    </row>
    <row r="6" spans="1:6">
      <c r="A6" s="7" t="s">
        <v>2</v>
      </c>
    </row>
    <row r="7" spans="1:6">
      <c r="A7" t="s">
        <v>3</v>
      </c>
      <c r="C7">
        <f>+C4</f>
        <v>35066.123</v>
      </c>
    </row>
    <row r="8" spans="1:6">
      <c r="A8" t="s">
        <v>4</v>
      </c>
      <c r="C8">
        <f>+D4</f>
        <v>2.2148107299999999</v>
      </c>
    </row>
    <row r="9" spans="1:6">
      <c r="A9" s="26" t="s">
        <v>44</v>
      </c>
      <c r="B9" s="27">
        <v>47</v>
      </c>
      <c r="C9" s="15" t="str">
        <f>"F"&amp;B9</f>
        <v>F47</v>
      </c>
      <c r="D9" s="16" t="str">
        <f>"G"&amp;B9</f>
        <v>G47</v>
      </c>
    </row>
    <row r="10" spans="1:6" ht="13.5" thickBot="1">
      <c r="A10" s="12"/>
      <c r="B10" s="12"/>
      <c r="C10" s="6" t="s">
        <v>21</v>
      </c>
      <c r="D10" s="6" t="s">
        <v>22</v>
      </c>
      <c r="E10" s="12"/>
    </row>
    <row r="11" spans="1:6">
      <c r="A11" s="12" t="s">
        <v>17</v>
      </c>
      <c r="B11" s="12"/>
      <c r="C11" s="14">
        <f ca="1">INTERCEPT(INDIRECT($D$9):G992,INDIRECT($C$9):F992)</f>
        <v>-0.43208900337406975</v>
      </c>
      <c r="D11" s="5"/>
      <c r="E11" s="12"/>
    </row>
    <row r="12" spans="1:6">
      <c r="A12" s="12" t="s">
        <v>18</v>
      </c>
      <c r="B12" s="12"/>
      <c r="C12" s="14">
        <f ca="1">SLOPE(INDIRECT($D$9):G992,INDIRECT($C$9):F992)</f>
        <v>9.535557953428502E-5</v>
      </c>
      <c r="D12" s="5"/>
      <c r="E12" s="12"/>
    </row>
    <row r="13" spans="1:6">
      <c r="A13" s="12" t="s">
        <v>20</v>
      </c>
      <c r="B13" s="12"/>
      <c r="C13" s="5" t="s">
        <v>15</v>
      </c>
    </row>
    <row r="14" spans="1:6">
      <c r="A14" s="12"/>
      <c r="B14" s="12"/>
      <c r="C14" s="12"/>
    </row>
    <row r="15" spans="1:6">
      <c r="A15" s="19" t="s">
        <v>19</v>
      </c>
      <c r="B15" s="12"/>
      <c r="C15" s="20">
        <f ca="1">(C7+C11)+(C8+C12)*INT(MAX(F21:F3533))</f>
        <v>57562.492022227962</v>
      </c>
      <c r="E15" s="17" t="s">
        <v>38</v>
      </c>
      <c r="F15" s="13">
        <v>1</v>
      </c>
    </row>
    <row r="16" spans="1:6">
      <c r="A16" s="21" t="s">
        <v>5</v>
      </c>
      <c r="B16" s="12"/>
      <c r="C16" s="22">
        <f ca="1">+C8+C12</f>
        <v>2.2149060855795342</v>
      </c>
      <c r="E16" s="17" t="s">
        <v>39</v>
      </c>
      <c r="F16" s="18">
        <f ca="1">NOW()+15018.5+$C$5/24</f>
        <v>60339.779210185181</v>
      </c>
    </row>
    <row r="17" spans="1:17" ht="13.5" thickBot="1">
      <c r="A17" s="17" t="s">
        <v>42</v>
      </c>
      <c r="B17" s="12"/>
      <c r="C17" s="12">
        <f>COUNT(C21:C2191)</f>
        <v>36</v>
      </c>
      <c r="E17" s="17" t="s">
        <v>40</v>
      </c>
      <c r="F17" s="18">
        <f ca="1">ROUND(2*(F16-$C$7)/$C$8,0)/2+F15</f>
        <v>11412</v>
      </c>
    </row>
    <row r="18" spans="1:17" ht="14.25" thickTop="1" thickBot="1">
      <c r="A18" s="21" t="s">
        <v>6</v>
      </c>
      <c r="B18" s="12"/>
      <c r="C18" s="24">
        <f ca="1">+C15</f>
        <v>57562.492022227962</v>
      </c>
      <c r="D18" s="25">
        <f ca="1">+C16</f>
        <v>2.2149060855795342</v>
      </c>
      <c r="E18" s="17" t="s">
        <v>41</v>
      </c>
      <c r="F18" s="16">
        <f ca="1">ROUND(2*(F16-$C$15)/$C$16,0)/2+F15</f>
        <v>1255</v>
      </c>
    </row>
    <row r="19" spans="1:17" ht="13.5" thickTop="1">
      <c r="E19" s="17" t="s">
        <v>43</v>
      </c>
      <c r="F19" s="23">
        <f ca="1">+$C$15+$C$16*F18-15018.5-$C$5/24</f>
        <v>45324.094992963612</v>
      </c>
    </row>
    <row r="20" spans="1:17" ht="13.5" thickBot="1">
      <c r="A20" s="6" t="s">
        <v>7</v>
      </c>
      <c r="B20" s="6" t="s">
        <v>8</v>
      </c>
      <c r="C20" s="6" t="s">
        <v>9</v>
      </c>
      <c r="D20" s="6" t="s">
        <v>14</v>
      </c>
      <c r="E20" s="6" t="s">
        <v>10</v>
      </c>
      <c r="F20" s="6" t="s">
        <v>11</v>
      </c>
      <c r="G20" s="6" t="s">
        <v>12</v>
      </c>
      <c r="H20" s="9" t="s">
        <v>59</v>
      </c>
      <c r="I20" s="9" t="s">
        <v>62</v>
      </c>
      <c r="J20" s="9" t="s">
        <v>56</v>
      </c>
      <c r="K20" s="9" t="s">
        <v>54</v>
      </c>
      <c r="L20" s="9" t="s">
        <v>26</v>
      </c>
      <c r="M20" s="9" t="s">
        <v>27</v>
      </c>
      <c r="N20" s="9" t="s">
        <v>28</v>
      </c>
      <c r="O20" s="9" t="s">
        <v>24</v>
      </c>
      <c r="P20" s="8" t="s">
        <v>23</v>
      </c>
      <c r="Q20" s="6" t="s">
        <v>16</v>
      </c>
    </row>
    <row r="21" spans="1:17">
      <c r="A21" s="47" t="s">
        <v>70</v>
      </c>
      <c r="B21" s="48" t="s">
        <v>46</v>
      </c>
      <c r="C21" s="49">
        <v>25181.328000000001</v>
      </c>
      <c r="D21" s="49" t="s">
        <v>62</v>
      </c>
      <c r="E21">
        <f t="shared" ref="E21:E55" si="0">+(C21-C$7)/C$8</f>
        <v>-4463.0427630265267</v>
      </c>
      <c r="F21">
        <f t="shared" ref="F21:F56" si="1">ROUND(2*E21,0)/2</f>
        <v>-4463</v>
      </c>
      <c r="G21">
        <f t="shared" ref="G21:G55" si="2">+C21-(C$7+F21*C$8)</f>
        <v>-9.4712009999057045E-2</v>
      </c>
      <c r="I21">
        <f t="shared" ref="I21:I34" si="3">+G21</f>
        <v>-9.4712009999057045E-2</v>
      </c>
      <c r="Q21" s="2">
        <f t="shared" ref="Q21:Q55" si="4">+C21-15018.5</f>
        <v>10162.828000000001</v>
      </c>
    </row>
    <row r="22" spans="1:17">
      <c r="A22" s="47" t="s">
        <v>70</v>
      </c>
      <c r="B22" s="48" t="s">
        <v>46</v>
      </c>
      <c r="C22" s="49">
        <v>25298.686000000002</v>
      </c>
      <c r="D22" s="49" t="s">
        <v>62</v>
      </c>
      <c r="E22">
        <f t="shared" si="0"/>
        <v>-4410.0549395478138</v>
      </c>
      <c r="F22">
        <f t="shared" si="1"/>
        <v>-4410</v>
      </c>
      <c r="G22">
        <f t="shared" si="2"/>
        <v>-0.12168069999825093</v>
      </c>
      <c r="I22">
        <f t="shared" si="3"/>
        <v>-0.12168069999825093</v>
      </c>
      <c r="Q22" s="2">
        <f t="shared" si="4"/>
        <v>10280.186000000002</v>
      </c>
    </row>
    <row r="23" spans="1:17">
      <c r="A23" s="47" t="s">
        <v>70</v>
      </c>
      <c r="B23" s="48" t="s">
        <v>46</v>
      </c>
      <c r="C23" s="49">
        <v>25440.521000000001</v>
      </c>
      <c r="D23" s="49" t="s">
        <v>62</v>
      </c>
      <c r="E23">
        <f t="shared" si="0"/>
        <v>-4346.0156073923299</v>
      </c>
      <c r="F23">
        <f t="shared" si="1"/>
        <v>-4346</v>
      </c>
      <c r="G23">
        <f t="shared" si="2"/>
        <v>-3.4567419999802951E-2</v>
      </c>
      <c r="I23">
        <f t="shared" si="3"/>
        <v>-3.4567419999802951E-2</v>
      </c>
      <c r="Q23" s="2">
        <f t="shared" si="4"/>
        <v>10422.021000000001</v>
      </c>
    </row>
    <row r="24" spans="1:17">
      <c r="A24" s="47" t="s">
        <v>70</v>
      </c>
      <c r="B24" s="48" t="s">
        <v>46</v>
      </c>
      <c r="C24" s="49">
        <v>25491.370999999999</v>
      </c>
      <c r="D24" s="49" t="s">
        <v>62</v>
      </c>
      <c r="E24">
        <f t="shared" si="0"/>
        <v>-4323.0565349482486</v>
      </c>
      <c r="F24">
        <f t="shared" si="1"/>
        <v>-4323</v>
      </c>
      <c r="G24">
        <f t="shared" si="2"/>
        <v>-0.12521420999837574</v>
      </c>
      <c r="I24">
        <f t="shared" si="3"/>
        <v>-0.12521420999837574</v>
      </c>
      <c r="Q24" s="2">
        <f t="shared" si="4"/>
        <v>10472.870999999999</v>
      </c>
    </row>
    <row r="25" spans="1:17">
      <c r="A25" s="47" t="s">
        <v>70</v>
      </c>
      <c r="B25" s="48" t="s">
        <v>46</v>
      </c>
      <c r="C25" s="49">
        <v>25719.583999999999</v>
      </c>
      <c r="D25" s="49" t="s">
        <v>62</v>
      </c>
      <c r="E25">
        <f t="shared" si="0"/>
        <v>-4220.0170305297379</v>
      </c>
      <c r="F25">
        <f t="shared" si="1"/>
        <v>-4220</v>
      </c>
      <c r="G25">
        <f t="shared" si="2"/>
        <v>-3.7719399999332381E-2</v>
      </c>
      <c r="I25">
        <f t="shared" si="3"/>
        <v>-3.7719399999332381E-2</v>
      </c>
      <c r="Q25" s="2">
        <f t="shared" si="4"/>
        <v>10701.083999999999</v>
      </c>
    </row>
    <row r="26" spans="1:17">
      <c r="A26" s="47" t="s">
        <v>70</v>
      </c>
      <c r="B26" s="48" t="s">
        <v>46</v>
      </c>
      <c r="C26" s="49">
        <v>25739.468000000001</v>
      </c>
      <c r="D26" s="49" t="s">
        <v>62</v>
      </c>
      <c r="E26">
        <f t="shared" si="0"/>
        <v>-4211.0392882194492</v>
      </c>
      <c r="F26">
        <f t="shared" si="1"/>
        <v>-4211</v>
      </c>
      <c r="G26">
        <f t="shared" si="2"/>
        <v>-8.701596999890171E-2</v>
      </c>
      <c r="I26">
        <f t="shared" si="3"/>
        <v>-8.701596999890171E-2</v>
      </c>
      <c r="Q26" s="2">
        <f t="shared" si="4"/>
        <v>10720.968000000001</v>
      </c>
    </row>
    <row r="27" spans="1:17">
      <c r="A27" s="47" t="s">
        <v>70</v>
      </c>
      <c r="B27" s="48" t="s">
        <v>46</v>
      </c>
      <c r="C27" s="49">
        <v>29099.454000000002</v>
      </c>
      <c r="D27" s="49" t="s">
        <v>62</v>
      </c>
      <c r="E27">
        <f t="shared" si="0"/>
        <v>-2693.9859551791128</v>
      </c>
      <c r="F27">
        <f t="shared" si="1"/>
        <v>-2694</v>
      </c>
      <c r="G27">
        <f t="shared" si="2"/>
        <v>3.1106620001082774E-2</v>
      </c>
      <c r="I27">
        <f t="shared" si="3"/>
        <v>3.1106620001082774E-2</v>
      </c>
      <c r="Q27" s="2">
        <f t="shared" si="4"/>
        <v>14080.954000000002</v>
      </c>
    </row>
    <row r="28" spans="1:17">
      <c r="A28" s="47" t="s">
        <v>92</v>
      </c>
      <c r="B28" s="48" t="s">
        <v>46</v>
      </c>
      <c r="C28" s="49">
        <v>33542.33</v>
      </c>
      <c r="D28" s="49" t="s">
        <v>62</v>
      </c>
      <c r="E28">
        <f t="shared" si="0"/>
        <v>-688.0014528374611</v>
      </c>
      <c r="F28">
        <f t="shared" si="1"/>
        <v>-688</v>
      </c>
      <c r="G28">
        <f t="shared" si="2"/>
        <v>-3.2177600005525164E-3</v>
      </c>
      <c r="I28">
        <f t="shared" si="3"/>
        <v>-3.2177600005525164E-3</v>
      </c>
      <c r="Q28" s="2">
        <f t="shared" si="4"/>
        <v>18523.830000000002</v>
      </c>
    </row>
    <row r="29" spans="1:17">
      <c r="A29" s="47" t="s">
        <v>92</v>
      </c>
      <c r="B29" s="48" t="s">
        <v>46</v>
      </c>
      <c r="C29" s="49">
        <v>34122.620000000003</v>
      </c>
      <c r="D29" s="49" t="s">
        <v>62</v>
      </c>
      <c r="E29">
        <f t="shared" si="0"/>
        <v>-425.99712346526195</v>
      </c>
      <c r="F29">
        <f t="shared" si="1"/>
        <v>-426</v>
      </c>
      <c r="G29">
        <f t="shared" si="2"/>
        <v>6.3709800015203655E-3</v>
      </c>
      <c r="I29">
        <f t="shared" si="3"/>
        <v>6.3709800015203655E-3</v>
      </c>
      <c r="Q29" s="2">
        <f t="shared" si="4"/>
        <v>19104.120000000003</v>
      </c>
    </row>
    <row r="30" spans="1:17">
      <c r="A30" s="47" t="s">
        <v>92</v>
      </c>
      <c r="B30" s="48" t="s">
        <v>46</v>
      </c>
      <c r="C30" s="49">
        <v>34627.595000000001</v>
      </c>
      <c r="D30" s="49" t="s">
        <v>62</v>
      </c>
      <c r="E30">
        <f t="shared" si="0"/>
        <v>-197.99795714372326</v>
      </c>
      <c r="F30">
        <f t="shared" si="1"/>
        <v>-198</v>
      </c>
      <c r="G30">
        <f t="shared" si="2"/>
        <v>4.5245400033309124E-3</v>
      </c>
      <c r="I30">
        <f t="shared" si="3"/>
        <v>4.5245400033309124E-3</v>
      </c>
      <c r="Q30" s="2">
        <f t="shared" si="4"/>
        <v>19609.095000000001</v>
      </c>
    </row>
    <row r="31" spans="1:17">
      <c r="A31" s="47" t="s">
        <v>92</v>
      </c>
      <c r="B31" s="48" t="s">
        <v>46</v>
      </c>
      <c r="C31" s="49">
        <v>34634.230000000003</v>
      </c>
      <c r="D31" s="49" t="s">
        <v>62</v>
      </c>
      <c r="E31">
        <f t="shared" si="0"/>
        <v>-195.00221583268038</v>
      </c>
      <c r="F31">
        <f t="shared" si="1"/>
        <v>-195</v>
      </c>
      <c r="G31">
        <f t="shared" si="2"/>
        <v>-4.9076499999500811E-3</v>
      </c>
      <c r="I31">
        <f t="shared" si="3"/>
        <v>-4.9076499999500811E-3</v>
      </c>
      <c r="Q31" s="2">
        <f t="shared" si="4"/>
        <v>19615.730000000003</v>
      </c>
    </row>
    <row r="32" spans="1:17">
      <c r="A32" s="47" t="s">
        <v>92</v>
      </c>
      <c r="B32" s="48" t="s">
        <v>46</v>
      </c>
      <c r="C32" s="49">
        <v>34636.46</v>
      </c>
      <c r="D32" s="49" t="s">
        <v>62</v>
      </c>
      <c r="E32">
        <f t="shared" si="0"/>
        <v>-193.99535778842849</v>
      </c>
      <c r="F32">
        <f t="shared" si="1"/>
        <v>-194</v>
      </c>
      <c r="G32">
        <f t="shared" si="2"/>
        <v>1.0281620001478586E-2</v>
      </c>
      <c r="I32">
        <f t="shared" si="3"/>
        <v>1.0281620001478586E-2</v>
      </c>
      <c r="Q32" s="2">
        <f t="shared" si="4"/>
        <v>19617.96</v>
      </c>
    </row>
    <row r="33" spans="1:31">
      <c r="A33" s="47" t="s">
        <v>92</v>
      </c>
      <c r="B33" s="48" t="s">
        <v>46</v>
      </c>
      <c r="C33" s="49">
        <v>34707.317999999999</v>
      </c>
      <c r="D33" s="49" t="s">
        <v>62</v>
      </c>
      <c r="E33">
        <f t="shared" si="0"/>
        <v>-162.00255630872815</v>
      </c>
      <c r="F33">
        <f t="shared" si="1"/>
        <v>-162</v>
      </c>
      <c r="G33">
        <f t="shared" si="2"/>
        <v>-5.6617399968672544E-3</v>
      </c>
      <c r="I33">
        <f t="shared" si="3"/>
        <v>-5.6617399968672544E-3</v>
      </c>
      <c r="Q33" s="2">
        <f t="shared" si="4"/>
        <v>19688.817999999999</v>
      </c>
    </row>
    <row r="34" spans="1:31">
      <c r="A34" s="47" t="s">
        <v>92</v>
      </c>
      <c r="B34" s="48" t="s">
        <v>46</v>
      </c>
      <c r="C34" s="49">
        <v>35006.322</v>
      </c>
      <c r="D34" s="49" t="s">
        <v>62</v>
      </c>
      <c r="E34">
        <f t="shared" si="0"/>
        <v>-27.000501302429338</v>
      </c>
      <c r="F34">
        <f t="shared" si="1"/>
        <v>-27</v>
      </c>
      <c r="G34">
        <f t="shared" si="2"/>
        <v>-1.1102900025434792E-3</v>
      </c>
      <c r="I34">
        <f t="shared" si="3"/>
        <v>-1.1102900025434792E-3</v>
      </c>
      <c r="Q34" s="2">
        <f t="shared" si="4"/>
        <v>19987.822</v>
      </c>
    </row>
    <row r="35" spans="1:31" ht="12.75" customHeight="1">
      <c r="A35" t="s">
        <v>13</v>
      </c>
      <c r="C35" s="28">
        <v>35066.123</v>
      </c>
      <c r="D35" s="28" t="s">
        <v>15</v>
      </c>
      <c r="E35">
        <f t="shared" si="0"/>
        <v>0</v>
      </c>
      <c r="F35">
        <f t="shared" si="1"/>
        <v>0</v>
      </c>
      <c r="G35">
        <f t="shared" si="2"/>
        <v>0</v>
      </c>
      <c r="H35">
        <f>+G35</f>
        <v>0</v>
      </c>
      <c r="Q35" s="2">
        <f t="shared" si="4"/>
        <v>20047.623</v>
      </c>
    </row>
    <row r="36" spans="1:31">
      <c r="A36" s="47" t="s">
        <v>92</v>
      </c>
      <c r="B36" s="48" t="s">
        <v>46</v>
      </c>
      <c r="C36" s="49">
        <v>35066.129999999997</v>
      </c>
      <c r="D36" s="49" t="s">
        <v>62</v>
      </c>
      <c r="E36">
        <f t="shared" si="0"/>
        <v>3.160540945089294E-3</v>
      </c>
      <c r="F36">
        <f t="shared" si="1"/>
        <v>0</v>
      </c>
      <c r="G36">
        <f t="shared" si="2"/>
        <v>6.9999999977881089E-3</v>
      </c>
      <c r="I36">
        <f t="shared" ref="I36:I48" si="5">+G36</f>
        <v>6.9999999977881089E-3</v>
      </c>
      <c r="Q36" s="2">
        <f t="shared" si="4"/>
        <v>20047.629999999997</v>
      </c>
    </row>
    <row r="37" spans="1:31">
      <c r="A37" s="47" t="s">
        <v>92</v>
      </c>
      <c r="B37" s="48" t="s">
        <v>46</v>
      </c>
      <c r="C37" s="49">
        <v>35336.324999999997</v>
      </c>
      <c r="D37" s="49" t="s">
        <v>62</v>
      </c>
      <c r="E37">
        <f t="shared" si="0"/>
        <v>121.99778353069361</v>
      </c>
      <c r="F37">
        <f t="shared" si="1"/>
        <v>122</v>
      </c>
      <c r="G37">
        <f t="shared" si="2"/>
        <v>-4.9090600005001761E-3</v>
      </c>
      <c r="I37">
        <f t="shared" si="5"/>
        <v>-4.9090600005001761E-3</v>
      </c>
      <c r="Q37" s="2">
        <f t="shared" si="4"/>
        <v>20317.824999999997</v>
      </c>
    </row>
    <row r="38" spans="1:31">
      <c r="A38" s="47" t="s">
        <v>92</v>
      </c>
      <c r="B38" s="48" t="s">
        <v>46</v>
      </c>
      <c r="C38" s="49">
        <v>35369.557000000001</v>
      </c>
      <c r="D38" s="49" t="s">
        <v>62</v>
      </c>
      <c r="E38">
        <f t="shared" si="0"/>
        <v>137.00222591932319</v>
      </c>
      <c r="F38">
        <f t="shared" si="1"/>
        <v>137</v>
      </c>
      <c r="G38">
        <f t="shared" si="2"/>
        <v>4.9299899983452633E-3</v>
      </c>
      <c r="I38">
        <f t="shared" si="5"/>
        <v>4.9299899983452633E-3</v>
      </c>
      <c r="Q38" s="2">
        <f t="shared" si="4"/>
        <v>20351.057000000001</v>
      </c>
    </row>
    <row r="39" spans="1:31">
      <c r="A39" s="47" t="s">
        <v>92</v>
      </c>
      <c r="B39" s="48" t="s">
        <v>46</v>
      </c>
      <c r="C39" s="49">
        <v>35398.345000000001</v>
      </c>
      <c r="D39" s="49" t="s">
        <v>62</v>
      </c>
      <c r="E39">
        <f t="shared" si="0"/>
        <v>150.00017631303493</v>
      </c>
      <c r="F39">
        <f t="shared" si="1"/>
        <v>150</v>
      </c>
      <c r="G39">
        <f t="shared" si="2"/>
        <v>3.9050000486895442E-4</v>
      </c>
      <c r="I39">
        <f t="shared" si="5"/>
        <v>3.9050000486895442E-4</v>
      </c>
      <c r="Q39" s="2">
        <f t="shared" si="4"/>
        <v>20379.845000000001</v>
      </c>
    </row>
    <row r="40" spans="1:31">
      <c r="A40" s="47" t="s">
        <v>92</v>
      </c>
      <c r="B40" s="48" t="s">
        <v>46</v>
      </c>
      <c r="C40" s="49">
        <v>36813.61</v>
      </c>
      <c r="D40" s="49" t="s">
        <v>62</v>
      </c>
      <c r="E40">
        <f t="shared" si="0"/>
        <v>789.00060232234875</v>
      </c>
      <c r="F40">
        <f t="shared" si="1"/>
        <v>789</v>
      </c>
      <c r="G40">
        <f t="shared" si="2"/>
        <v>1.3340299992705695E-3</v>
      </c>
      <c r="I40">
        <f t="shared" si="5"/>
        <v>1.3340299992705695E-3</v>
      </c>
      <c r="Q40" s="2">
        <f t="shared" si="4"/>
        <v>21795.11</v>
      </c>
    </row>
    <row r="41" spans="1:31">
      <c r="A41" s="47" t="s">
        <v>92</v>
      </c>
      <c r="B41" s="48" t="s">
        <v>46</v>
      </c>
      <c r="C41" s="49">
        <v>36822.464999999997</v>
      </c>
      <c r="D41" s="49" t="s">
        <v>62</v>
      </c>
      <c r="E41">
        <f t="shared" si="0"/>
        <v>792.9986866191482</v>
      </c>
      <c r="F41">
        <f t="shared" si="1"/>
        <v>793</v>
      </c>
      <c r="G41">
        <f t="shared" si="2"/>
        <v>-2.9088900046190247E-3</v>
      </c>
      <c r="I41">
        <f t="shared" si="5"/>
        <v>-2.9088900046190247E-3</v>
      </c>
      <c r="Q41" s="2">
        <f t="shared" si="4"/>
        <v>21803.964999999997</v>
      </c>
    </row>
    <row r="42" spans="1:31">
      <c r="A42" s="47" t="s">
        <v>92</v>
      </c>
      <c r="B42" s="48" t="s">
        <v>46</v>
      </c>
      <c r="C42" s="49">
        <v>36902.199999999997</v>
      </c>
      <c r="D42" s="49" t="s">
        <v>62</v>
      </c>
      <c r="E42">
        <f t="shared" si="0"/>
        <v>828.99950552433779</v>
      </c>
      <c r="F42">
        <f t="shared" si="1"/>
        <v>829</v>
      </c>
      <c r="G42">
        <f t="shared" si="2"/>
        <v>-1.0951700023724698E-3</v>
      </c>
      <c r="I42">
        <f t="shared" si="5"/>
        <v>-1.0951700023724698E-3</v>
      </c>
      <c r="Q42" s="2">
        <f t="shared" si="4"/>
        <v>21883.699999999997</v>
      </c>
    </row>
    <row r="43" spans="1:31" ht="12.75" customHeight="1">
      <c r="A43" t="s">
        <v>30</v>
      </c>
      <c r="C43" s="29">
        <v>46007.381999999998</v>
      </c>
      <c r="D43" s="28"/>
      <c r="E43">
        <f t="shared" si="0"/>
        <v>4940.0424387505109</v>
      </c>
      <c r="F43">
        <f t="shared" si="1"/>
        <v>4940</v>
      </c>
      <c r="G43">
        <f t="shared" si="2"/>
        <v>9.3993800001044292E-2</v>
      </c>
      <c r="I43">
        <f t="shared" si="5"/>
        <v>9.3993800001044292E-2</v>
      </c>
      <c r="Q43" s="2">
        <f t="shared" si="4"/>
        <v>30988.881999999998</v>
      </c>
      <c r="AA43">
        <v>9</v>
      </c>
      <c r="AC43" t="s">
        <v>29</v>
      </c>
      <c r="AE43" t="s">
        <v>31</v>
      </c>
    </row>
    <row r="44" spans="1:31" ht="12.75" customHeight="1">
      <c r="A44" t="s">
        <v>32</v>
      </c>
      <c r="C44" s="29">
        <v>46678.472000000002</v>
      </c>
      <c r="D44" s="28"/>
      <c r="E44">
        <f t="shared" si="0"/>
        <v>5243.0434992519668</v>
      </c>
      <c r="F44">
        <f t="shared" si="1"/>
        <v>5243</v>
      </c>
      <c r="G44">
        <f t="shared" si="2"/>
        <v>9.6342609998828266E-2</v>
      </c>
      <c r="I44">
        <f t="shared" si="5"/>
        <v>9.6342609998828266E-2</v>
      </c>
      <c r="Q44" s="2">
        <f t="shared" si="4"/>
        <v>31659.972000000002</v>
      </c>
      <c r="AA44">
        <v>6</v>
      </c>
      <c r="AC44" t="s">
        <v>29</v>
      </c>
      <c r="AE44" t="s">
        <v>31</v>
      </c>
    </row>
    <row r="45" spans="1:31">
      <c r="A45" s="47" t="s">
        <v>137</v>
      </c>
      <c r="B45" s="48" t="s">
        <v>46</v>
      </c>
      <c r="C45" s="49">
        <v>46687.472000000002</v>
      </c>
      <c r="D45" s="49" t="s">
        <v>62</v>
      </c>
      <c r="E45">
        <f t="shared" si="0"/>
        <v>5247.1070518969364</v>
      </c>
      <c r="F45">
        <f t="shared" si="1"/>
        <v>5247</v>
      </c>
      <c r="G45">
        <f t="shared" si="2"/>
        <v>0.23709969000628917</v>
      </c>
      <c r="I45">
        <f t="shared" si="5"/>
        <v>0.23709969000628917</v>
      </c>
      <c r="Q45" s="2">
        <f t="shared" si="4"/>
        <v>31668.972000000002</v>
      </c>
    </row>
    <row r="46" spans="1:31" ht="12.75" customHeight="1">
      <c r="A46" t="s">
        <v>33</v>
      </c>
      <c r="C46" s="29">
        <v>46946.485000000001</v>
      </c>
      <c r="D46" s="28"/>
      <c r="E46">
        <f t="shared" si="0"/>
        <v>5364.0529364782342</v>
      </c>
      <c r="F46">
        <f t="shared" si="1"/>
        <v>5364</v>
      </c>
      <c r="G46">
        <f t="shared" si="2"/>
        <v>0.11724428000161424</v>
      </c>
      <c r="I46">
        <f t="shared" si="5"/>
        <v>0.11724428000161424</v>
      </c>
      <c r="O46">
        <f t="shared" ref="O46:O55" ca="1" si="6">+C$11+C$12*F46</f>
        <v>7.9398325247835078E-2</v>
      </c>
      <c r="Q46" s="2">
        <f t="shared" si="4"/>
        <v>31927.985000000001</v>
      </c>
      <c r="AA46">
        <v>6</v>
      </c>
      <c r="AC46" t="s">
        <v>29</v>
      </c>
      <c r="AE46" t="s">
        <v>31</v>
      </c>
    </row>
    <row r="47" spans="1:31" ht="12.75" customHeight="1">
      <c r="A47" t="s">
        <v>34</v>
      </c>
      <c r="C47" s="29">
        <v>48532.303999999996</v>
      </c>
      <c r="D47" s="28">
        <v>2E-3</v>
      </c>
      <c r="E47">
        <f t="shared" si="0"/>
        <v>6080.05949113313</v>
      </c>
      <c r="F47">
        <f t="shared" si="1"/>
        <v>6080</v>
      </c>
      <c r="G47">
        <f t="shared" si="2"/>
        <v>0.13176159999420634</v>
      </c>
      <c r="I47">
        <f t="shared" si="5"/>
        <v>0.13176159999420634</v>
      </c>
      <c r="O47">
        <f t="shared" ca="1" si="6"/>
        <v>0.14767292019438316</v>
      </c>
      <c r="Q47" s="2">
        <f t="shared" si="4"/>
        <v>33513.803999999996</v>
      </c>
      <c r="AA47">
        <v>9</v>
      </c>
      <c r="AC47" t="s">
        <v>29</v>
      </c>
      <c r="AE47" t="s">
        <v>31</v>
      </c>
    </row>
    <row r="48" spans="1:31">
      <c r="A48" s="47" t="s">
        <v>152</v>
      </c>
      <c r="B48" s="48" t="s">
        <v>46</v>
      </c>
      <c r="C48" s="49">
        <v>54326.523000000001</v>
      </c>
      <c r="D48" s="49" t="s">
        <v>62</v>
      </c>
      <c r="E48">
        <f t="shared" si="0"/>
        <v>8696.1832625761217</v>
      </c>
      <c r="F48">
        <f t="shared" si="1"/>
        <v>8696</v>
      </c>
      <c r="G48">
        <f t="shared" si="2"/>
        <v>0.40589192000334151</v>
      </c>
      <c r="I48">
        <f t="shared" si="5"/>
        <v>0.40589192000334151</v>
      </c>
      <c r="O48">
        <f t="shared" ca="1" si="6"/>
        <v>0.39712311625607277</v>
      </c>
      <c r="Q48" s="2">
        <f t="shared" si="4"/>
        <v>39308.023000000001</v>
      </c>
    </row>
    <row r="49" spans="1:17">
      <c r="A49" s="47" t="s">
        <v>157</v>
      </c>
      <c r="B49" s="48" t="s">
        <v>46</v>
      </c>
      <c r="C49" s="49">
        <v>55068.517699999997</v>
      </c>
      <c r="D49" s="49" t="s">
        <v>62</v>
      </c>
      <c r="E49">
        <f t="shared" si="0"/>
        <v>9031.1982098804438</v>
      </c>
      <c r="F49">
        <f t="shared" si="1"/>
        <v>9031</v>
      </c>
      <c r="G49">
        <f t="shared" si="2"/>
        <v>0.43899737000174355</v>
      </c>
      <c r="K49">
        <f>+G49</f>
        <v>0.43899737000174355</v>
      </c>
      <c r="O49">
        <f t="shared" ca="1" si="6"/>
        <v>0.42906723540005831</v>
      </c>
      <c r="Q49" s="2">
        <f t="shared" si="4"/>
        <v>40050.017699999997</v>
      </c>
    </row>
    <row r="50" spans="1:17">
      <c r="A50" s="30" t="s">
        <v>45</v>
      </c>
      <c r="B50" s="31" t="s">
        <v>46</v>
      </c>
      <c r="C50" s="30">
        <v>55376.386299999998</v>
      </c>
      <c r="D50" s="30">
        <v>8.0000000000000004E-4</v>
      </c>
      <c r="E50">
        <f t="shared" si="0"/>
        <v>9170.2026836396981</v>
      </c>
      <c r="F50">
        <f t="shared" si="1"/>
        <v>9170</v>
      </c>
      <c r="G50">
        <f t="shared" si="2"/>
        <v>0.44890590000431985</v>
      </c>
      <c r="J50">
        <f>+G50</f>
        <v>0.44890590000431985</v>
      </c>
      <c r="O50">
        <f t="shared" ca="1" si="6"/>
        <v>0.44232166095532388</v>
      </c>
      <c r="Q50" s="2">
        <f t="shared" si="4"/>
        <v>40357.886299999998</v>
      </c>
    </row>
    <row r="51" spans="1:17">
      <c r="A51" s="32" t="s">
        <v>51</v>
      </c>
      <c r="B51" s="32"/>
      <c r="C51" s="33">
        <v>55387.462299999999</v>
      </c>
      <c r="D51" s="33">
        <v>8.9999999999999998E-4</v>
      </c>
      <c r="E51">
        <f t="shared" si="0"/>
        <v>9175.2035624281089</v>
      </c>
      <c r="F51">
        <f t="shared" si="1"/>
        <v>9175</v>
      </c>
      <c r="G51">
        <f t="shared" si="2"/>
        <v>0.4508522499963874</v>
      </c>
      <c r="J51">
        <f>+G51</f>
        <v>0.4508522499963874</v>
      </c>
      <c r="O51">
        <f t="shared" ca="1" si="6"/>
        <v>0.4427984388529953</v>
      </c>
      <c r="Q51" s="2">
        <f t="shared" si="4"/>
        <v>40368.962299999999</v>
      </c>
    </row>
    <row r="52" spans="1:17">
      <c r="A52" s="30" t="s">
        <v>45</v>
      </c>
      <c r="B52" s="31" t="s">
        <v>46</v>
      </c>
      <c r="C52" s="30">
        <v>55398.5363</v>
      </c>
      <c r="D52" s="30">
        <v>1.1999999999999999E-3</v>
      </c>
      <c r="E52">
        <f t="shared" si="0"/>
        <v>9180.2035382048198</v>
      </c>
      <c r="F52">
        <f t="shared" si="1"/>
        <v>9180</v>
      </c>
      <c r="G52">
        <f t="shared" si="2"/>
        <v>0.45079860000259941</v>
      </c>
      <c r="J52">
        <f>+G52</f>
        <v>0.45079860000259941</v>
      </c>
      <c r="O52">
        <f t="shared" ca="1" si="6"/>
        <v>0.44327521675066672</v>
      </c>
      <c r="Q52" s="2">
        <f t="shared" si="4"/>
        <v>40380.0363</v>
      </c>
    </row>
    <row r="53" spans="1:17">
      <c r="A53" s="32" t="s">
        <v>51</v>
      </c>
      <c r="B53" s="32"/>
      <c r="C53" s="33">
        <v>55429.544500000004</v>
      </c>
      <c r="D53" s="33">
        <v>1E-3</v>
      </c>
      <c r="E53">
        <f t="shared" si="0"/>
        <v>9194.2039218854625</v>
      </c>
      <c r="F53">
        <f t="shared" si="1"/>
        <v>9194</v>
      </c>
      <c r="G53">
        <f t="shared" si="2"/>
        <v>0.45164838000346208</v>
      </c>
      <c r="J53">
        <f>+G53</f>
        <v>0.45164838000346208</v>
      </c>
      <c r="O53">
        <f t="shared" ca="1" si="6"/>
        <v>0.44461019486414677</v>
      </c>
      <c r="Q53" s="2">
        <f t="shared" si="4"/>
        <v>40411.044500000004</v>
      </c>
    </row>
    <row r="54" spans="1:17">
      <c r="A54" s="30" t="s">
        <v>48</v>
      </c>
      <c r="B54" s="31" t="s">
        <v>49</v>
      </c>
      <c r="C54" s="30">
        <v>55707.515200000002</v>
      </c>
      <c r="D54" s="30">
        <v>7.1999999999999998E-3</v>
      </c>
      <c r="E54">
        <f t="shared" si="0"/>
        <v>9319.70931890871</v>
      </c>
      <c r="F54">
        <f t="shared" si="1"/>
        <v>9319.5</v>
      </c>
      <c r="G54">
        <f t="shared" si="2"/>
        <v>0.46360176499729278</v>
      </c>
      <c r="J54">
        <f>+G54</f>
        <v>0.46360176499729278</v>
      </c>
      <c r="O54">
        <f t="shared" ca="1" si="6"/>
        <v>0.45657732009569951</v>
      </c>
      <c r="Q54" s="2">
        <f t="shared" si="4"/>
        <v>40689.015200000002</v>
      </c>
    </row>
    <row r="55" spans="1:17">
      <c r="A55" s="30" t="s">
        <v>47</v>
      </c>
      <c r="B55" s="31" t="s">
        <v>46</v>
      </c>
      <c r="C55" s="30">
        <v>55730.772499999999</v>
      </c>
      <c r="D55" s="30">
        <v>6.9999999999999999E-4</v>
      </c>
      <c r="E55">
        <f t="shared" si="0"/>
        <v>9330.210125900916</v>
      </c>
      <c r="F55">
        <f t="shared" si="1"/>
        <v>9330</v>
      </c>
      <c r="G55">
        <f t="shared" si="2"/>
        <v>0.46538909999799216</v>
      </c>
      <c r="K55">
        <f>+G55</f>
        <v>0.46538909999799216</v>
      </c>
      <c r="O55">
        <f t="shared" ca="1" si="6"/>
        <v>0.45757855368080946</v>
      </c>
      <c r="Q55" s="2">
        <f t="shared" si="4"/>
        <v>40712.272499999999</v>
      </c>
    </row>
    <row r="56" spans="1:17">
      <c r="A56" s="50" t="s">
        <v>0</v>
      </c>
      <c r="B56" s="51" t="s">
        <v>46</v>
      </c>
      <c r="C56" s="52">
        <v>57562.445200000002</v>
      </c>
      <c r="D56" s="52">
        <v>2.9999999999999997E-4</v>
      </c>
      <c r="E56">
        <f>+(C56-C$7)/C$8</f>
        <v>10157.221064212563</v>
      </c>
      <c r="F56">
        <f t="shared" si="1"/>
        <v>10157</v>
      </c>
      <c r="G56">
        <f>+C56-(C$7+F56*C$8)</f>
        <v>0.48961539000447374</v>
      </c>
      <c r="K56">
        <f>+G56</f>
        <v>0.48961539000447374</v>
      </c>
      <c r="O56">
        <f ca="1">+C$11+C$12*F56</f>
        <v>0.53643761795566325</v>
      </c>
      <c r="Q56" s="2">
        <f>+C56-15018.5</f>
        <v>42543.945200000002</v>
      </c>
    </row>
    <row r="57" spans="1:17">
      <c r="B57" s="5"/>
    </row>
    <row r="58" spans="1:17">
      <c r="B58" s="5"/>
    </row>
    <row r="59" spans="1:17">
      <c r="B59" s="5"/>
    </row>
    <row r="60" spans="1:17">
      <c r="B60" s="5"/>
    </row>
  </sheetData>
  <phoneticPr fontId="8" type="noConversion"/>
  <hyperlinks>
    <hyperlink ref="H1108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7"/>
  <sheetViews>
    <sheetView workbookViewId="0">
      <selection activeCell="A20" sqref="A20:D43"/>
    </sheetView>
  </sheetViews>
  <sheetFormatPr defaultRowHeight="12.75"/>
  <cols>
    <col min="1" max="1" width="19.7109375" style="28" customWidth="1"/>
    <col min="2" max="2" width="4.42578125" style="12" customWidth="1"/>
    <col min="3" max="3" width="12.7109375" style="28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28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34" t="s">
        <v>52</v>
      </c>
      <c r="I1" s="35" t="s">
        <v>53</v>
      </c>
      <c r="J1" s="36" t="s">
        <v>54</v>
      </c>
    </row>
    <row r="2" spans="1:16">
      <c r="I2" s="37" t="s">
        <v>55</v>
      </c>
      <c r="J2" s="38" t="s">
        <v>56</v>
      </c>
    </row>
    <row r="3" spans="1:16">
      <c r="A3" s="39" t="s">
        <v>57</v>
      </c>
      <c r="I3" s="37" t="s">
        <v>58</v>
      </c>
      <c r="J3" s="38" t="s">
        <v>59</v>
      </c>
    </row>
    <row r="4" spans="1:16">
      <c r="I4" s="37" t="s">
        <v>60</v>
      </c>
      <c r="J4" s="38" t="s">
        <v>59</v>
      </c>
    </row>
    <row r="5" spans="1:16" ht="13.5" thickBot="1">
      <c r="I5" s="40" t="s">
        <v>61</v>
      </c>
      <c r="J5" s="41" t="s">
        <v>62</v>
      </c>
    </row>
    <row r="10" spans="1:16" ht="13.5" thickBot="1"/>
    <row r="11" spans="1:16" ht="12.75" customHeight="1" thickBot="1">
      <c r="A11" s="28" t="str">
        <f t="shared" ref="A11:A43" si="0">P11</f>
        <v> BBS 74 </v>
      </c>
      <c r="B11" s="5" t="str">
        <f t="shared" ref="B11:B43" si="1">IF(H11=INT(H11),"I","II")</f>
        <v>I</v>
      </c>
      <c r="C11" s="28">
        <f t="shared" ref="C11:C43" si="2">1*G11</f>
        <v>46007.381999999998</v>
      </c>
      <c r="D11" s="12" t="str">
        <f t="shared" ref="D11:D43" si="3">VLOOKUP(F11,I$1:J$5,2,FALSE)</f>
        <v>vis</v>
      </c>
      <c r="E11" s="42">
        <f>VLOOKUP(C11,Active!C$21:E$973,3,FALSE)</f>
        <v>4940.0424387505109</v>
      </c>
      <c r="F11" s="5" t="s">
        <v>61</v>
      </c>
      <c r="G11" s="12" t="str">
        <f t="shared" ref="G11:G43" si="4">MID(I11,3,LEN(I11)-3)</f>
        <v>46007.382</v>
      </c>
      <c r="H11" s="28">
        <f t="shared" ref="H11:H43" si="5">1*K11</f>
        <v>4940</v>
      </c>
      <c r="I11" s="43" t="s">
        <v>128</v>
      </c>
      <c r="J11" s="44" t="s">
        <v>129</v>
      </c>
      <c r="K11" s="43">
        <v>4940</v>
      </c>
      <c r="L11" s="43" t="s">
        <v>130</v>
      </c>
      <c r="M11" s="44" t="s">
        <v>131</v>
      </c>
      <c r="N11" s="44"/>
      <c r="O11" s="45" t="s">
        <v>132</v>
      </c>
      <c r="P11" s="45" t="s">
        <v>133</v>
      </c>
    </row>
    <row r="12" spans="1:16" ht="12.75" customHeight="1" thickBot="1">
      <c r="A12" s="28" t="str">
        <f t="shared" si="0"/>
        <v> BBS 84 </v>
      </c>
      <c r="B12" s="5" t="str">
        <f t="shared" si="1"/>
        <v>I</v>
      </c>
      <c r="C12" s="28">
        <f t="shared" si="2"/>
        <v>46946.485000000001</v>
      </c>
      <c r="D12" s="12" t="str">
        <f t="shared" si="3"/>
        <v>vis</v>
      </c>
      <c r="E12" s="42">
        <f>VLOOKUP(C12,Active!C$21:E$973,3,FALSE)</f>
        <v>5364.0529364782342</v>
      </c>
      <c r="F12" s="5" t="s">
        <v>61</v>
      </c>
      <c r="G12" s="12" t="str">
        <f t="shared" si="4"/>
        <v>46946.485</v>
      </c>
      <c r="H12" s="28">
        <f t="shared" si="5"/>
        <v>5364</v>
      </c>
      <c r="I12" s="43" t="s">
        <v>138</v>
      </c>
      <c r="J12" s="44" t="s">
        <v>139</v>
      </c>
      <c r="K12" s="43">
        <v>5364</v>
      </c>
      <c r="L12" s="43" t="s">
        <v>140</v>
      </c>
      <c r="M12" s="44" t="s">
        <v>131</v>
      </c>
      <c r="N12" s="44"/>
      <c r="O12" s="45" t="s">
        <v>132</v>
      </c>
      <c r="P12" s="45" t="s">
        <v>141</v>
      </c>
    </row>
    <row r="13" spans="1:16" ht="12.75" customHeight="1" thickBot="1">
      <c r="A13" s="28" t="str">
        <f t="shared" si="0"/>
        <v> BBS 99 </v>
      </c>
      <c r="B13" s="5" t="str">
        <f t="shared" si="1"/>
        <v>I</v>
      </c>
      <c r="C13" s="28">
        <f t="shared" si="2"/>
        <v>48532.303999999996</v>
      </c>
      <c r="D13" s="12" t="str">
        <f t="shared" si="3"/>
        <v>vis</v>
      </c>
      <c r="E13" s="42">
        <f>VLOOKUP(C13,Active!C$21:E$973,3,FALSE)</f>
        <v>6080.05949113313</v>
      </c>
      <c r="F13" s="5" t="s">
        <v>61</v>
      </c>
      <c r="G13" s="12" t="str">
        <f t="shared" si="4"/>
        <v>48532.304</v>
      </c>
      <c r="H13" s="28">
        <f t="shared" si="5"/>
        <v>6080</v>
      </c>
      <c r="I13" s="43" t="s">
        <v>142</v>
      </c>
      <c r="J13" s="44" t="s">
        <v>143</v>
      </c>
      <c r="K13" s="43">
        <v>6080</v>
      </c>
      <c r="L13" s="43" t="s">
        <v>144</v>
      </c>
      <c r="M13" s="44" t="s">
        <v>131</v>
      </c>
      <c r="N13" s="44"/>
      <c r="O13" s="45" t="s">
        <v>132</v>
      </c>
      <c r="P13" s="45" t="s">
        <v>145</v>
      </c>
    </row>
    <row r="14" spans="1:16" ht="12.75" customHeight="1" thickBot="1">
      <c r="A14" s="28" t="str">
        <f t="shared" si="0"/>
        <v>BAVM 214 </v>
      </c>
      <c r="B14" s="5" t="str">
        <f t="shared" si="1"/>
        <v>I</v>
      </c>
      <c r="C14" s="28">
        <f t="shared" si="2"/>
        <v>55376.386299999998</v>
      </c>
      <c r="D14" s="12" t="str">
        <f t="shared" si="3"/>
        <v>vis</v>
      </c>
      <c r="E14" s="42">
        <f>VLOOKUP(C14,Active!C$21:E$973,3,FALSE)</f>
        <v>9170.2026836396981</v>
      </c>
      <c r="F14" s="5" t="s">
        <v>61</v>
      </c>
      <c r="G14" s="12" t="str">
        <f t="shared" si="4"/>
        <v>55376.3863</v>
      </c>
      <c r="H14" s="28">
        <f t="shared" si="5"/>
        <v>9170</v>
      </c>
      <c r="I14" s="43" t="s">
        <v>158</v>
      </c>
      <c r="J14" s="44" t="s">
        <v>159</v>
      </c>
      <c r="K14" s="43" t="s">
        <v>160</v>
      </c>
      <c r="L14" s="43" t="s">
        <v>161</v>
      </c>
      <c r="M14" s="44" t="s">
        <v>149</v>
      </c>
      <c r="N14" s="44" t="s">
        <v>150</v>
      </c>
      <c r="O14" s="45" t="s">
        <v>151</v>
      </c>
      <c r="P14" s="46" t="s">
        <v>162</v>
      </c>
    </row>
    <row r="15" spans="1:16" ht="12.75" customHeight="1" thickBot="1">
      <c r="A15" s="28" t="str">
        <f t="shared" si="0"/>
        <v>BAVM 215 </v>
      </c>
      <c r="B15" s="5" t="str">
        <f t="shared" si="1"/>
        <v>I</v>
      </c>
      <c r="C15" s="28">
        <f t="shared" si="2"/>
        <v>55387.462299999999</v>
      </c>
      <c r="D15" s="12" t="str">
        <f t="shared" si="3"/>
        <v>vis</v>
      </c>
      <c r="E15" s="42">
        <f>VLOOKUP(C15,Active!C$21:E$973,3,FALSE)</f>
        <v>9175.2035624281089</v>
      </c>
      <c r="F15" s="5" t="s">
        <v>61</v>
      </c>
      <c r="G15" s="12" t="str">
        <f t="shared" si="4"/>
        <v>55387.4623</v>
      </c>
      <c r="H15" s="28">
        <f t="shared" si="5"/>
        <v>9175</v>
      </c>
      <c r="I15" s="43" t="s">
        <v>163</v>
      </c>
      <c r="J15" s="44" t="s">
        <v>164</v>
      </c>
      <c r="K15" s="43" t="s">
        <v>165</v>
      </c>
      <c r="L15" s="43" t="s">
        <v>166</v>
      </c>
      <c r="M15" s="44" t="s">
        <v>149</v>
      </c>
      <c r="N15" s="44" t="s">
        <v>150</v>
      </c>
      <c r="O15" s="45" t="s">
        <v>151</v>
      </c>
      <c r="P15" s="46" t="s">
        <v>167</v>
      </c>
    </row>
    <row r="16" spans="1:16" ht="12.75" customHeight="1" thickBot="1">
      <c r="A16" s="28" t="str">
        <f t="shared" si="0"/>
        <v>BAVM 214 </v>
      </c>
      <c r="B16" s="5" t="str">
        <f t="shared" si="1"/>
        <v>I</v>
      </c>
      <c r="C16" s="28">
        <f t="shared" si="2"/>
        <v>55398.5363</v>
      </c>
      <c r="D16" s="12" t="str">
        <f t="shared" si="3"/>
        <v>vis</v>
      </c>
      <c r="E16" s="42">
        <f>VLOOKUP(C16,Active!C$21:E$973,3,FALSE)</f>
        <v>9180.2035382048198</v>
      </c>
      <c r="F16" s="5" t="s">
        <v>61</v>
      </c>
      <c r="G16" s="12" t="str">
        <f t="shared" si="4"/>
        <v>55398.5363</v>
      </c>
      <c r="H16" s="28">
        <f t="shared" si="5"/>
        <v>9180</v>
      </c>
      <c r="I16" s="43" t="s">
        <v>168</v>
      </c>
      <c r="J16" s="44" t="s">
        <v>169</v>
      </c>
      <c r="K16" s="43" t="s">
        <v>170</v>
      </c>
      <c r="L16" s="43" t="s">
        <v>171</v>
      </c>
      <c r="M16" s="44" t="s">
        <v>149</v>
      </c>
      <c r="N16" s="44" t="s">
        <v>172</v>
      </c>
      <c r="O16" s="45" t="s">
        <v>173</v>
      </c>
      <c r="P16" s="46" t="s">
        <v>162</v>
      </c>
    </row>
    <row r="17" spans="1:16" ht="12.75" customHeight="1" thickBot="1">
      <c r="A17" s="28" t="str">
        <f t="shared" si="0"/>
        <v>BAVM 215 </v>
      </c>
      <c r="B17" s="5" t="str">
        <f t="shared" si="1"/>
        <v>I</v>
      </c>
      <c r="C17" s="28">
        <f t="shared" si="2"/>
        <v>55429.544500000004</v>
      </c>
      <c r="D17" s="12" t="str">
        <f t="shared" si="3"/>
        <v>vis</v>
      </c>
      <c r="E17" s="42">
        <f>VLOOKUP(C17,Active!C$21:E$973,3,FALSE)</f>
        <v>9194.2039218854625</v>
      </c>
      <c r="F17" s="5" t="s">
        <v>61</v>
      </c>
      <c r="G17" s="12" t="str">
        <f t="shared" si="4"/>
        <v>55429.5445</v>
      </c>
      <c r="H17" s="28">
        <f t="shared" si="5"/>
        <v>9194</v>
      </c>
      <c r="I17" s="43" t="s">
        <v>174</v>
      </c>
      <c r="J17" s="44" t="s">
        <v>175</v>
      </c>
      <c r="K17" s="43" t="s">
        <v>176</v>
      </c>
      <c r="L17" s="43" t="s">
        <v>177</v>
      </c>
      <c r="M17" s="44" t="s">
        <v>149</v>
      </c>
      <c r="N17" s="44" t="s">
        <v>150</v>
      </c>
      <c r="O17" s="45" t="s">
        <v>151</v>
      </c>
      <c r="P17" s="46" t="s">
        <v>167</v>
      </c>
    </row>
    <row r="18" spans="1:16" ht="12.75" customHeight="1" thickBot="1">
      <c r="A18" s="28" t="str">
        <f t="shared" si="0"/>
        <v>BAVM 220 </v>
      </c>
      <c r="B18" s="5" t="str">
        <f t="shared" si="1"/>
        <v>II</v>
      </c>
      <c r="C18" s="28">
        <f t="shared" si="2"/>
        <v>55707.515200000002</v>
      </c>
      <c r="D18" s="12" t="str">
        <f t="shared" si="3"/>
        <v>vis</v>
      </c>
      <c r="E18" s="42">
        <f>VLOOKUP(C18,Active!C$21:E$973,3,FALSE)</f>
        <v>9319.70931890871</v>
      </c>
      <c r="F18" s="5" t="s">
        <v>61</v>
      </c>
      <c r="G18" s="12" t="str">
        <f t="shared" si="4"/>
        <v>55707.5152</v>
      </c>
      <c r="H18" s="28">
        <f t="shared" si="5"/>
        <v>9319.5</v>
      </c>
      <c r="I18" s="43" t="s">
        <v>178</v>
      </c>
      <c r="J18" s="44" t="s">
        <v>179</v>
      </c>
      <c r="K18" s="43" t="s">
        <v>180</v>
      </c>
      <c r="L18" s="43" t="s">
        <v>181</v>
      </c>
      <c r="M18" s="44" t="s">
        <v>149</v>
      </c>
      <c r="N18" s="44" t="s">
        <v>150</v>
      </c>
      <c r="O18" s="45" t="s">
        <v>151</v>
      </c>
      <c r="P18" s="46" t="s">
        <v>182</v>
      </c>
    </row>
    <row r="19" spans="1:16" ht="12.75" customHeight="1" thickBot="1">
      <c r="A19" s="28" t="str">
        <f t="shared" si="0"/>
        <v>IBVS 5992 </v>
      </c>
      <c r="B19" s="5" t="str">
        <f t="shared" si="1"/>
        <v>I</v>
      </c>
      <c r="C19" s="28">
        <f t="shared" si="2"/>
        <v>55730.772499999999</v>
      </c>
      <c r="D19" s="12" t="str">
        <f t="shared" si="3"/>
        <v>vis</v>
      </c>
      <c r="E19" s="42">
        <f>VLOOKUP(C19,Active!C$21:E$973,3,FALSE)</f>
        <v>9330.210125900916</v>
      </c>
      <c r="F19" s="5" t="s">
        <v>61</v>
      </c>
      <c r="G19" s="12" t="str">
        <f t="shared" si="4"/>
        <v>55730.7725</v>
      </c>
      <c r="H19" s="28">
        <f t="shared" si="5"/>
        <v>9330</v>
      </c>
      <c r="I19" s="43" t="s">
        <v>183</v>
      </c>
      <c r="J19" s="44" t="s">
        <v>184</v>
      </c>
      <c r="K19" s="43" t="s">
        <v>185</v>
      </c>
      <c r="L19" s="43" t="s">
        <v>186</v>
      </c>
      <c r="M19" s="44" t="s">
        <v>149</v>
      </c>
      <c r="N19" s="44" t="s">
        <v>61</v>
      </c>
      <c r="O19" s="45" t="s">
        <v>187</v>
      </c>
      <c r="P19" s="46" t="s">
        <v>188</v>
      </c>
    </row>
    <row r="20" spans="1:16" ht="12.75" customHeight="1" thickBot="1">
      <c r="A20" s="28" t="str">
        <f t="shared" si="0"/>
        <v> KVBB 24.72 </v>
      </c>
      <c r="B20" s="5" t="str">
        <f t="shared" si="1"/>
        <v>I</v>
      </c>
      <c r="C20" s="28">
        <f t="shared" si="2"/>
        <v>25181.328000000001</v>
      </c>
      <c r="D20" s="12" t="str">
        <f t="shared" si="3"/>
        <v>vis</v>
      </c>
      <c r="E20" s="42">
        <f>VLOOKUP(C20,Active!C$21:E$973,3,FALSE)</f>
        <v>-4463.0427630265267</v>
      </c>
      <c r="F20" s="5" t="s">
        <v>61</v>
      </c>
      <c r="G20" s="12" t="str">
        <f t="shared" si="4"/>
        <v>25181.328</v>
      </c>
      <c r="H20" s="28">
        <f t="shared" si="5"/>
        <v>-4463</v>
      </c>
      <c r="I20" s="43" t="s">
        <v>65</v>
      </c>
      <c r="J20" s="44" t="s">
        <v>66</v>
      </c>
      <c r="K20" s="43">
        <v>-4463</v>
      </c>
      <c r="L20" s="43" t="s">
        <v>67</v>
      </c>
      <c r="M20" s="44" t="s">
        <v>68</v>
      </c>
      <c r="N20" s="44"/>
      <c r="O20" s="45" t="s">
        <v>69</v>
      </c>
      <c r="P20" s="45" t="s">
        <v>70</v>
      </c>
    </row>
    <row r="21" spans="1:16" ht="12.75" customHeight="1" thickBot="1">
      <c r="A21" s="28" t="str">
        <f t="shared" si="0"/>
        <v> KVBB 24.72 </v>
      </c>
      <c r="B21" s="5" t="str">
        <f t="shared" si="1"/>
        <v>I</v>
      </c>
      <c r="C21" s="28">
        <f t="shared" si="2"/>
        <v>25298.686000000002</v>
      </c>
      <c r="D21" s="12" t="str">
        <f t="shared" si="3"/>
        <v>vis</v>
      </c>
      <c r="E21" s="42">
        <f>VLOOKUP(C21,Active!C$21:E$973,3,FALSE)</f>
        <v>-4410.0549395478138</v>
      </c>
      <c r="F21" s="5" t="s">
        <v>61</v>
      </c>
      <c r="G21" s="12" t="str">
        <f t="shared" si="4"/>
        <v>25298.686</v>
      </c>
      <c r="H21" s="28">
        <f t="shared" si="5"/>
        <v>-4410</v>
      </c>
      <c r="I21" s="43" t="s">
        <v>71</v>
      </c>
      <c r="J21" s="44" t="s">
        <v>72</v>
      </c>
      <c r="K21" s="43">
        <v>-4410</v>
      </c>
      <c r="L21" s="43" t="s">
        <v>73</v>
      </c>
      <c r="M21" s="44" t="s">
        <v>68</v>
      </c>
      <c r="N21" s="44"/>
      <c r="O21" s="45" t="s">
        <v>69</v>
      </c>
      <c r="P21" s="45" t="s">
        <v>70</v>
      </c>
    </row>
    <row r="22" spans="1:16" ht="12.75" customHeight="1" thickBot="1">
      <c r="A22" s="28" t="str">
        <f t="shared" si="0"/>
        <v> KVBB 24.72 </v>
      </c>
      <c r="B22" s="5" t="str">
        <f t="shared" si="1"/>
        <v>I</v>
      </c>
      <c r="C22" s="28">
        <f t="shared" si="2"/>
        <v>25440.521000000001</v>
      </c>
      <c r="D22" s="12" t="str">
        <f t="shared" si="3"/>
        <v>vis</v>
      </c>
      <c r="E22" s="42">
        <f>VLOOKUP(C22,Active!C$21:E$973,3,FALSE)</f>
        <v>-4346.0156073923299</v>
      </c>
      <c r="F22" s="5" t="s">
        <v>61</v>
      </c>
      <c r="G22" s="12" t="str">
        <f t="shared" si="4"/>
        <v>25440.521</v>
      </c>
      <c r="H22" s="28">
        <f t="shared" si="5"/>
        <v>-4346</v>
      </c>
      <c r="I22" s="43" t="s">
        <v>74</v>
      </c>
      <c r="J22" s="44" t="s">
        <v>75</v>
      </c>
      <c r="K22" s="43">
        <v>-4346</v>
      </c>
      <c r="L22" s="43" t="s">
        <v>76</v>
      </c>
      <c r="M22" s="44" t="s">
        <v>68</v>
      </c>
      <c r="N22" s="44"/>
      <c r="O22" s="45" t="s">
        <v>69</v>
      </c>
      <c r="P22" s="45" t="s">
        <v>70</v>
      </c>
    </row>
    <row r="23" spans="1:16" ht="12.75" customHeight="1" thickBot="1">
      <c r="A23" s="28" t="str">
        <f t="shared" si="0"/>
        <v> KVBB 24.72 </v>
      </c>
      <c r="B23" s="5" t="str">
        <f t="shared" si="1"/>
        <v>I</v>
      </c>
      <c r="C23" s="28">
        <f t="shared" si="2"/>
        <v>25491.370999999999</v>
      </c>
      <c r="D23" s="12" t="str">
        <f t="shared" si="3"/>
        <v>vis</v>
      </c>
      <c r="E23" s="42">
        <f>VLOOKUP(C23,Active!C$21:E$973,3,FALSE)</f>
        <v>-4323.0565349482486</v>
      </c>
      <c r="F23" s="5" t="s">
        <v>61</v>
      </c>
      <c r="G23" s="12" t="str">
        <f t="shared" si="4"/>
        <v>25491.371</v>
      </c>
      <c r="H23" s="28">
        <f t="shared" si="5"/>
        <v>-4323</v>
      </c>
      <c r="I23" s="43" t="s">
        <v>77</v>
      </c>
      <c r="J23" s="44" t="s">
        <v>78</v>
      </c>
      <c r="K23" s="43">
        <v>-4323</v>
      </c>
      <c r="L23" s="43" t="s">
        <v>79</v>
      </c>
      <c r="M23" s="44" t="s">
        <v>68</v>
      </c>
      <c r="N23" s="44"/>
      <c r="O23" s="45" t="s">
        <v>69</v>
      </c>
      <c r="P23" s="45" t="s">
        <v>70</v>
      </c>
    </row>
    <row r="24" spans="1:16" ht="12.75" customHeight="1" thickBot="1">
      <c r="A24" s="28" t="str">
        <f t="shared" si="0"/>
        <v> KVBB 24.72 </v>
      </c>
      <c r="B24" s="5" t="str">
        <f t="shared" si="1"/>
        <v>I</v>
      </c>
      <c r="C24" s="28">
        <f t="shared" si="2"/>
        <v>25719.583999999999</v>
      </c>
      <c r="D24" s="12" t="str">
        <f t="shared" si="3"/>
        <v>vis</v>
      </c>
      <c r="E24" s="42">
        <f>VLOOKUP(C24,Active!C$21:E$973,3,FALSE)</f>
        <v>-4220.0170305297379</v>
      </c>
      <c r="F24" s="5" t="s">
        <v>61</v>
      </c>
      <c r="G24" s="12" t="str">
        <f t="shared" si="4"/>
        <v>25719.584</v>
      </c>
      <c r="H24" s="28">
        <f t="shared" si="5"/>
        <v>-4220</v>
      </c>
      <c r="I24" s="43" t="s">
        <v>80</v>
      </c>
      <c r="J24" s="44" t="s">
        <v>81</v>
      </c>
      <c r="K24" s="43">
        <v>-4220</v>
      </c>
      <c r="L24" s="43" t="s">
        <v>82</v>
      </c>
      <c r="M24" s="44" t="s">
        <v>68</v>
      </c>
      <c r="N24" s="44"/>
      <c r="O24" s="45" t="s">
        <v>69</v>
      </c>
      <c r="P24" s="45" t="s">
        <v>70</v>
      </c>
    </row>
    <row r="25" spans="1:16" ht="12.75" customHeight="1" thickBot="1">
      <c r="A25" s="28" t="str">
        <f t="shared" si="0"/>
        <v> KVBB 24.72 </v>
      </c>
      <c r="B25" s="5" t="str">
        <f t="shared" si="1"/>
        <v>I</v>
      </c>
      <c r="C25" s="28">
        <f t="shared" si="2"/>
        <v>25739.468000000001</v>
      </c>
      <c r="D25" s="12" t="str">
        <f t="shared" si="3"/>
        <v>vis</v>
      </c>
      <c r="E25" s="42">
        <f>VLOOKUP(C25,Active!C$21:E$973,3,FALSE)</f>
        <v>-4211.0392882194492</v>
      </c>
      <c r="F25" s="5" t="s">
        <v>61</v>
      </c>
      <c r="G25" s="12" t="str">
        <f t="shared" si="4"/>
        <v>25739.468</v>
      </c>
      <c r="H25" s="28">
        <f t="shared" si="5"/>
        <v>-4211</v>
      </c>
      <c r="I25" s="43" t="s">
        <v>83</v>
      </c>
      <c r="J25" s="44" t="s">
        <v>84</v>
      </c>
      <c r="K25" s="43">
        <v>-4211</v>
      </c>
      <c r="L25" s="43" t="s">
        <v>85</v>
      </c>
      <c r="M25" s="44" t="s">
        <v>68</v>
      </c>
      <c r="N25" s="44"/>
      <c r="O25" s="45" t="s">
        <v>69</v>
      </c>
      <c r="P25" s="45" t="s">
        <v>70</v>
      </c>
    </row>
    <row r="26" spans="1:16" ht="12.75" customHeight="1" thickBot="1">
      <c r="A26" s="28" t="str">
        <f t="shared" si="0"/>
        <v> KVBB 24.72 </v>
      </c>
      <c r="B26" s="5" t="str">
        <f t="shared" si="1"/>
        <v>I</v>
      </c>
      <c r="C26" s="28">
        <f t="shared" si="2"/>
        <v>29099.454000000002</v>
      </c>
      <c r="D26" s="12" t="str">
        <f t="shared" si="3"/>
        <v>vis</v>
      </c>
      <c r="E26" s="42">
        <f>VLOOKUP(C26,Active!C$21:E$973,3,FALSE)</f>
        <v>-2693.9859551791128</v>
      </c>
      <c r="F26" s="5" t="s">
        <v>61</v>
      </c>
      <c r="G26" s="12" t="str">
        <f t="shared" si="4"/>
        <v>29099.454</v>
      </c>
      <c r="H26" s="28">
        <f t="shared" si="5"/>
        <v>-2694</v>
      </c>
      <c r="I26" s="43" t="s">
        <v>86</v>
      </c>
      <c r="J26" s="44" t="s">
        <v>87</v>
      </c>
      <c r="K26" s="43">
        <v>-2694</v>
      </c>
      <c r="L26" s="43" t="s">
        <v>88</v>
      </c>
      <c r="M26" s="44" t="s">
        <v>68</v>
      </c>
      <c r="N26" s="44"/>
      <c r="O26" s="45" t="s">
        <v>69</v>
      </c>
      <c r="P26" s="45" t="s">
        <v>70</v>
      </c>
    </row>
    <row r="27" spans="1:16" ht="12.75" customHeight="1" thickBot="1">
      <c r="A27" s="28" t="str">
        <f t="shared" si="0"/>
        <v> AHSB 6.1.73 </v>
      </c>
      <c r="B27" s="5" t="str">
        <f t="shared" si="1"/>
        <v>I</v>
      </c>
      <c r="C27" s="28">
        <f t="shared" si="2"/>
        <v>33542.33</v>
      </c>
      <c r="D27" s="12" t="str">
        <f t="shared" si="3"/>
        <v>vis</v>
      </c>
      <c r="E27" s="42">
        <f>VLOOKUP(C27,Active!C$21:E$973,3,FALSE)</f>
        <v>-688.0014528374611</v>
      </c>
      <c r="F27" s="5" t="s">
        <v>61</v>
      </c>
      <c r="G27" s="12" t="str">
        <f t="shared" si="4"/>
        <v>33542.330</v>
      </c>
      <c r="H27" s="28">
        <f t="shared" si="5"/>
        <v>-688</v>
      </c>
      <c r="I27" s="43" t="s">
        <v>89</v>
      </c>
      <c r="J27" s="44" t="s">
        <v>90</v>
      </c>
      <c r="K27" s="43">
        <v>-688</v>
      </c>
      <c r="L27" s="43" t="s">
        <v>63</v>
      </c>
      <c r="M27" s="44" t="s">
        <v>64</v>
      </c>
      <c r="N27" s="44"/>
      <c r="O27" s="45" t="s">
        <v>91</v>
      </c>
      <c r="P27" s="45" t="s">
        <v>92</v>
      </c>
    </row>
    <row r="28" spans="1:16" ht="12.75" customHeight="1" thickBot="1">
      <c r="A28" s="28" t="str">
        <f t="shared" si="0"/>
        <v> AHSB 6.1.73 </v>
      </c>
      <c r="B28" s="5" t="str">
        <f t="shared" si="1"/>
        <v>I</v>
      </c>
      <c r="C28" s="28">
        <f t="shared" si="2"/>
        <v>34122.620000000003</v>
      </c>
      <c r="D28" s="12" t="str">
        <f t="shared" si="3"/>
        <v>vis</v>
      </c>
      <c r="E28" s="42">
        <f>VLOOKUP(C28,Active!C$21:E$973,3,FALSE)</f>
        <v>-425.99712346526195</v>
      </c>
      <c r="F28" s="5" t="s">
        <v>61</v>
      </c>
      <c r="G28" s="12" t="str">
        <f t="shared" si="4"/>
        <v>34122.620</v>
      </c>
      <c r="H28" s="28">
        <f t="shared" si="5"/>
        <v>-426</v>
      </c>
      <c r="I28" s="43" t="s">
        <v>93</v>
      </c>
      <c r="J28" s="44" t="s">
        <v>94</v>
      </c>
      <c r="K28" s="43">
        <v>-426</v>
      </c>
      <c r="L28" s="43" t="s">
        <v>95</v>
      </c>
      <c r="M28" s="44" t="s">
        <v>68</v>
      </c>
      <c r="N28" s="44"/>
      <c r="O28" s="45" t="s">
        <v>91</v>
      </c>
      <c r="P28" s="45" t="s">
        <v>92</v>
      </c>
    </row>
    <row r="29" spans="1:16" ht="12.75" customHeight="1" thickBot="1">
      <c r="A29" s="28" t="str">
        <f t="shared" si="0"/>
        <v> AHSB 6.1.73 </v>
      </c>
      <c r="B29" s="5" t="str">
        <f t="shared" si="1"/>
        <v>I</v>
      </c>
      <c r="C29" s="28">
        <f t="shared" si="2"/>
        <v>34627.595000000001</v>
      </c>
      <c r="D29" s="12" t="str">
        <f t="shared" si="3"/>
        <v>vis</v>
      </c>
      <c r="E29" s="42">
        <f>VLOOKUP(C29,Active!C$21:E$973,3,FALSE)</f>
        <v>-197.99795714372326</v>
      </c>
      <c r="F29" s="5" t="s">
        <v>61</v>
      </c>
      <c r="G29" s="12" t="str">
        <f t="shared" si="4"/>
        <v>34627.595</v>
      </c>
      <c r="H29" s="28">
        <f t="shared" si="5"/>
        <v>-198</v>
      </c>
      <c r="I29" s="43" t="s">
        <v>96</v>
      </c>
      <c r="J29" s="44" t="s">
        <v>97</v>
      </c>
      <c r="K29" s="43">
        <v>-198</v>
      </c>
      <c r="L29" s="43" t="s">
        <v>98</v>
      </c>
      <c r="M29" s="44" t="s">
        <v>68</v>
      </c>
      <c r="N29" s="44"/>
      <c r="O29" s="45" t="s">
        <v>91</v>
      </c>
      <c r="P29" s="45" t="s">
        <v>92</v>
      </c>
    </row>
    <row r="30" spans="1:16" ht="12.75" customHeight="1" thickBot="1">
      <c r="A30" s="28" t="str">
        <f t="shared" si="0"/>
        <v> AHSB 6.1.73 </v>
      </c>
      <c r="B30" s="5" t="str">
        <f t="shared" si="1"/>
        <v>I</v>
      </c>
      <c r="C30" s="28">
        <f t="shared" si="2"/>
        <v>34634.230000000003</v>
      </c>
      <c r="D30" s="12" t="str">
        <f t="shared" si="3"/>
        <v>vis</v>
      </c>
      <c r="E30" s="42">
        <f>VLOOKUP(C30,Active!C$21:E$973,3,FALSE)</f>
        <v>-195.00221583268038</v>
      </c>
      <c r="F30" s="5" t="s">
        <v>61</v>
      </c>
      <c r="G30" s="12" t="str">
        <f t="shared" si="4"/>
        <v>34634.230</v>
      </c>
      <c r="H30" s="28">
        <f t="shared" si="5"/>
        <v>-195</v>
      </c>
      <c r="I30" s="43" t="s">
        <v>99</v>
      </c>
      <c r="J30" s="44" t="s">
        <v>100</v>
      </c>
      <c r="K30" s="43">
        <v>-195</v>
      </c>
      <c r="L30" s="43" t="s">
        <v>101</v>
      </c>
      <c r="M30" s="44" t="s">
        <v>68</v>
      </c>
      <c r="N30" s="44"/>
      <c r="O30" s="45" t="s">
        <v>91</v>
      </c>
      <c r="P30" s="45" t="s">
        <v>92</v>
      </c>
    </row>
    <row r="31" spans="1:16" ht="12.75" customHeight="1" thickBot="1">
      <c r="A31" s="28" t="str">
        <f t="shared" si="0"/>
        <v> AHSB 6.1.73 </v>
      </c>
      <c r="B31" s="5" t="str">
        <f t="shared" si="1"/>
        <v>I</v>
      </c>
      <c r="C31" s="28">
        <f t="shared" si="2"/>
        <v>34636.46</v>
      </c>
      <c r="D31" s="12" t="str">
        <f t="shared" si="3"/>
        <v>vis</v>
      </c>
      <c r="E31" s="42">
        <f>VLOOKUP(C31,Active!C$21:E$973,3,FALSE)</f>
        <v>-193.99535778842849</v>
      </c>
      <c r="F31" s="5" t="s">
        <v>61</v>
      </c>
      <c r="G31" s="12" t="str">
        <f t="shared" si="4"/>
        <v>34636.460</v>
      </c>
      <c r="H31" s="28">
        <f t="shared" si="5"/>
        <v>-194</v>
      </c>
      <c r="I31" s="43" t="s">
        <v>102</v>
      </c>
      <c r="J31" s="44" t="s">
        <v>103</v>
      </c>
      <c r="K31" s="43">
        <v>-194</v>
      </c>
      <c r="L31" s="43" t="s">
        <v>104</v>
      </c>
      <c r="M31" s="44" t="s">
        <v>68</v>
      </c>
      <c r="N31" s="44"/>
      <c r="O31" s="45" t="s">
        <v>91</v>
      </c>
      <c r="P31" s="45" t="s">
        <v>92</v>
      </c>
    </row>
    <row r="32" spans="1:16" ht="12.75" customHeight="1" thickBot="1">
      <c r="A32" s="28" t="str">
        <f t="shared" si="0"/>
        <v> AHSB 6.1.73 </v>
      </c>
      <c r="B32" s="5" t="str">
        <f t="shared" si="1"/>
        <v>I</v>
      </c>
      <c r="C32" s="28">
        <f t="shared" si="2"/>
        <v>34707.317999999999</v>
      </c>
      <c r="D32" s="12" t="str">
        <f t="shared" si="3"/>
        <v>vis</v>
      </c>
      <c r="E32" s="42">
        <f>VLOOKUP(C32,Active!C$21:E$973,3,FALSE)</f>
        <v>-162.00255630872815</v>
      </c>
      <c r="F32" s="5" t="s">
        <v>61</v>
      </c>
      <c r="G32" s="12" t="str">
        <f t="shared" si="4"/>
        <v>34707.318</v>
      </c>
      <c r="H32" s="28">
        <f t="shared" si="5"/>
        <v>-162</v>
      </c>
      <c r="I32" s="43" t="s">
        <v>105</v>
      </c>
      <c r="J32" s="44" t="s">
        <v>106</v>
      </c>
      <c r="K32" s="43">
        <v>-162</v>
      </c>
      <c r="L32" s="43" t="s">
        <v>107</v>
      </c>
      <c r="M32" s="44" t="s">
        <v>68</v>
      </c>
      <c r="N32" s="44"/>
      <c r="O32" s="45" t="s">
        <v>91</v>
      </c>
      <c r="P32" s="45" t="s">
        <v>92</v>
      </c>
    </row>
    <row r="33" spans="1:16" ht="12.75" customHeight="1" thickBot="1">
      <c r="A33" s="28" t="str">
        <f t="shared" si="0"/>
        <v> AHSB 6.1.73 </v>
      </c>
      <c r="B33" s="5" t="str">
        <f t="shared" si="1"/>
        <v>I</v>
      </c>
      <c r="C33" s="28">
        <f t="shared" si="2"/>
        <v>35006.322</v>
      </c>
      <c r="D33" s="12" t="str">
        <f t="shared" si="3"/>
        <v>vis</v>
      </c>
      <c r="E33" s="42">
        <f>VLOOKUP(C33,Active!C$21:E$973,3,FALSE)</f>
        <v>-27.000501302429338</v>
      </c>
      <c r="F33" s="5" t="s">
        <v>61</v>
      </c>
      <c r="G33" s="12" t="str">
        <f t="shared" si="4"/>
        <v>35006.322</v>
      </c>
      <c r="H33" s="28">
        <f t="shared" si="5"/>
        <v>-27</v>
      </c>
      <c r="I33" s="43" t="s">
        <v>108</v>
      </c>
      <c r="J33" s="44" t="s">
        <v>109</v>
      </c>
      <c r="K33" s="43">
        <v>-27</v>
      </c>
      <c r="L33" s="43" t="s">
        <v>110</v>
      </c>
      <c r="M33" s="44" t="s">
        <v>68</v>
      </c>
      <c r="N33" s="44"/>
      <c r="O33" s="45" t="s">
        <v>91</v>
      </c>
      <c r="P33" s="45" t="s">
        <v>92</v>
      </c>
    </row>
    <row r="34" spans="1:16" ht="12.75" customHeight="1" thickBot="1">
      <c r="A34" s="28" t="str">
        <f t="shared" si="0"/>
        <v> AHSB 6.1.73 </v>
      </c>
      <c r="B34" s="5" t="str">
        <f t="shared" si="1"/>
        <v>I</v>
      </c>
      <c r="C34" s="28">
        <f t="shared" si="2"/>
        <v>35066.129999999997</v>
      </c>
      <c r="D34" s="12" t="str">
        <f t="shared" si="3"/>
        <v>vis</v>
      </c>
      <c r="E34" s="42">
        <f>VLOOKUP(C34,Active!C$21:E$973,3,FALSE)</f>
        <v>3.160540945089294E-3</v>
      </c>
      <c r="F34" s="5" t="s">
        <v>61</v>
      </c>
      <c r="G34" s="12" t="str">
        <f t="shared" si="4"/>
        <v>35066.130</v>
      </c>
      <c r="H34" s="28">
        <f t="shared" si="5"/>
        <v>0</v>
      </c>
      <c r="I34" s="43" t="s">
        <v>111</v>
      </c>
      <c r="J34" s="44" t="s">
        <v>112</v>
      </c>
      <c r="K34" s="43">
        <v>0</v>
      </c>
      <c r="L34" s="43" t="s">
        <v>113</v>
      </c>
      <c r="M34" s="44" t="s">
        <v>68</v>
      </c>
      <c r="N34" s="44"/>
      <c r="O34" s="45" t="s">
        <v>91</v>
      </c>
      <c r="P34" s="45" t="s">
        <v>92</v>
      </c>
    </row>
    <row r="35" spans="1:16" ht="12.75" customHeight="1" thickBot="1">
      <c r="A35" s="28" t="str">
        <f t="shared" si="0"/>
        <v> AHSB 6.1.73 </v>
      </c>
      <c r="B35" s="5" t="str">
        <f t="shared" si="1"/>
        <v>I</v>
      </c>
      <c r="C35" s="28">
        <f t="shared" si="2"/>
        <v>35336.324999999997</v>
      </c>
      <c r="D35" s="12" t="str">
        <f t="shared" si="3"/>
        <v>vis</v>
      </c>
      <c r="E35" s="42">
        <f>VLOOKUP(C35,Active!C$21:E$973,3,FALSE)</f>
        <v>121.99778353069361</v>
      </c>
      <c r="F35" s="5" t="s">
        <v>61</v>
      </c>
      <c r="G35" s="12" t="str">
        <f t="shared" si="4"/>
        <v>35336.325</v>
      </c>
      <c r="H35" s="28">
        <f t="shared" si="5"/>
        <v>122</v>
      </c>
      <c r="I35" s="43" t="s">
        <v>114</v>
      </c>
      <c r="J35" s="44" t="s">
        <v>115</v>
      </c>
      <c r="K35" s="43">
        <v>122</v>
      </c>
      <c r="L35" s="43" t="s">
        <v>101</v>
      </c>
      <c r="M35" s="44" t="s">
        <v>68</v>
      </c>
      <c r="N35" s="44"/>
      <c r="O35" s="45" t="s">
        <v>91</v>
      </c>
      <c r="P35" s="45" t="s">
        <v>92</v>
      </c>
    </row>
    <row r="36" spans="1:16" ht="12.75" customHeight="1" thickBot="1">
      <c r="A36" s="28" t="str">
        <f t="shared" si="0"/>
        <v> AHSB 6.1.73 </v>
      </c>
      <c r="B36" s="5" t="str">
        <f t="shared" si="1"/>
        <v>I</v>
      </c>
      <c r="C36" s="28">
        <f t="shared" si="2"/>
        <v>35369.557000000001</v>
      </c>
      <c r="D36" s="12" t="str">
        <f t="shared" si="3"/>
        <v>vis</v>
      </c>
      <c r="E36" s="42">
        <f>VLOOKUP(C36,Active!C$21:E$973,3,FALSE)</f>
        <v>137.00222591932319</v>
      </c>
      <c r="F36" s="5" t="s">
        <v>61</v>
      </c>
      <c r="G36" s="12" t="str">
        <f t="shared" si="4"/>
        <v>35369.557</v>
      </c>
      <c r="H36" s="28">
        <f t="shared" si="5"/>
        <v>137</v>
      </c>
      <c r="I36" s="43" t="s">
        <v>116</v>
      </c>
      <c r="J36" s="44" t="s">
        <v>117</v>
      </c>
      <c r="K36" s="43">
        <v>137</v>
      </c>
      <c r="L36" s="43" t="s">
        <v>98</v>
      </c>
      <c r="M36" s="44" t="s">
        <v>68</v>
      </c>
      <c r="N36" s="44"/>
      <c r="O36" s="45" t="s">
        <v>91</v>
      </c>
      <c r="P36" s="45" t="s">
        <v>92</v>
      </c>
    </row>
    <row r="37" spans="1:16" ht="12.75" customHeight="1" thickBot="1">
      <c r="A37" s="28" t="str">
        <f t="shared" si="0"/>
        <v> AHSB 6.1.73 </v>
      </c>
      <c r="B37" s="5" t="str">
        <f t="shared" si="1"/>
        <v>I</v>
      </c>
      <c r="C37" s="28">
        <f t="shared" si="2"/>
        <v>35398.345000000001</v>
      </c>
      <c r="D37" s="12" t="str">
        <f t="shared" si="3"/>
        <v>vis</v>
      </c>
      <c r="E37" s="42">
        <f>VLOOKUP(C37,Active!C$21:E$973,3,FALSE)</f>
        <v>150.00017631303493</v>
      </c>
      <c r="F37" s="5" t="s">
        <v>61</v>
      </c>
      <c r="G37" s="12" t="str">
        <f t="shared" si="4"/>
        <v>35398.345</v>
      </c>
      <c r="H37" s="28">
        <f t="shared" si="5"/>
        <v>150</v>
      </c>
      <c r="I37" s="43" t="s">
        <v>118</v>
      </c>
      <c r="J37" s="44" t="s">
        <v>119</v>
      </c>
      <c r="K37" s="43">
        <v>150</v>
      </c>
      <c r="L37" s="43" t="s">
        <v>120</v>
      </c>
      <c r="M37" s="44" t="s">
        <v>68</v>
      </c>
      <c r="N37" s="44"/>
      <c r="O37" s="45" t="s">
        <v>91</v>
      </c>
      <c r="P37" s="45" t="s">
        <v>92</v>
      </c>
    </row>
    <row r="38" spans="1:16" ht="12.75" customHeight="1" thickBot="1">
      <c r="A38" s="28" t="str">
        <f t="shared" si="0"/>
        <v> AHSB 6.1.73 </v>
      </c>
      <c r="B38" s="5" t="str">
        <f t="shared" si="1"/>
        <v>I</v>
      </c>
      <c r="C38" s="28">
        <f t="shared" si="2"/>
        <v>36813.61</v>
      </c>
      <c r="D38" s="12" t="str">
        <f t="shared" si="3"/>
        <v>vis</v>
      </c>
      <c r="E38" s="42">
        <f>VLOOKUP(C38,Active!C$21:E$973,3,FALSE)</f>
        <v>789.00060232234875</v>
      </c>
      <c r="F38" s="5" t="s">
        <v>61</v>
      </c>
      <c r="G38" s="12" t="str">
        <f t="shared" si="4"/>
        <v>36813.610</v>
      </c>
      <c r="H38" s="28">
        <f t="shared" si="5"/>
        <v>789</v>
      </c>
      <c r="I38" s="43" t="s">
        <v>121</v>
      </c>
      <c r="J38" s="44" t="s">
        <v>122</v>
      </c>
      <c r="K38" s="43">
        <v>789</v>
      </c>
      <c r="L38" s="43" t="s">
        <v>123</v>
      </c>
      <c r="M38" s="44" t="s">
        <v>68</v>
      </c>
      <c r="N38" s="44"/>
      <c r="O38" s="45" t="s">
        <v>91</v>
      </c>
      <c r="P38" s="45" t="s">
        <v>92</v>
      </c>
    </row>
    <row r="39" spans="1:16" ht="12.75" customHeight="1" thickBot="1">
      <c r="A39" s="28" t="str">
        <f t="shared" si="0"/>
        <v> AHSB 6.1.73 </v>
      </c>
      <c r="B39" s="5" t="str">
        <f t="shared" si="1"/>
        <v>I</v>
      </c>
      <c r="C39" s="28">
        <f t="shared" si="2"/>
        <v>36822.464999999997</v>
      </c>
      <c r="D39" s="12" t="str">
        <f t="shared" si="3"/>
        <v>vis</v>
      </c>
      <c r="E39" s="42">
        <f>VLOOKUP(C39,Active!C$21:E$973,3,FALSE)</f>
        <v>792.9986866191482</v>
      </c>
      <c r="F39" s="5" t="s">
        <v>61</v>
      </c>
      <c r="G39" s="12" t="str">
        <f t="shared" si="4"/>
        <v>36822.465</v>
      </c>
      <c r="H39" s="28">
        <f t="shared" si="5"/>
        <v>793</v>
      </c>
      <c r="I39" s="43" t="s">
        <v>124</v>
      </c>
      <c r="J39" s="44" t="s">
        <v>125</v>
      </c>
      <c r="K39" s="43">
        <v>793</v>
      </c>
      <c r="L39" s="43" t="s">
        <v>63</v>
      </c>
      <c r="M39" s="44" t="s">
        <v>64</v>
      </c>
      <c r="N39" s="44"/>
      <c r="O39" s="45" t="s">
        <v>91</v>
      </c>
      <c r="P39" s="45" t="s">
        <v>92</v>
      </c>
    </row>
    <row r="40" spans="1:16" ht="12.75" customHeight="1" thickBot="1">
      <c r="A40" s="28" t="str">
        <f t="shared" si="0"/>
        <v> AHSB 6.1.73 </v>
      </c>
      <c r="B40" s="5" t="str">
        <f t="shared" si="1"/>
        <v>I</v>
      </c>
      <c r="C40" s="28">
        <f t="shared" si="2"/>
        <v>36902.199999999997</v>
      </c>
      <c r="D40" s="12" t="str">
        <f t="shared" si="3"/>
        <v>vis</v>
      </c>
      <c r="E40" s="42">
        <f>VLOOKUP(C40,Active!C$21:E$973,3,FALSE)</f>
        <v>828.99950552433779</v>
      </c>
      <c r="F40" s="5" t="s">
        <v>61</v>
      </c>
      <c r="G40" s="12" t="str">
        <f t="shared" si="4"/>
        <v>36902.200</v>
      </c>
      <c r="H40" s="28">
        <f t="shared" si="5"/>
        <v>829</v>
      </c>
      <c r="I40" s="43" t="s">
        <v>126</v>
      </c>
      <c r="J40" s="44" t="s">
        <v>127</v>
      </c>
      <c r="K40" s="43">
        <v>829</v>
      </c>
      <c r="L40" s="43" t="s">
        <v>110</v>
      </c>
      <c r="M40" s="44" t="s">
        <v>68</v>
      </c>
      <c r="N40" s="44"/>
      <c r="O40" s="45" t="s">
        <v>91</v>
      </c>
      <c r="P40" s="45" t="s">
        <v>92</v>
      </c>
    </row>
    <row r="41" spans="1:16" ht="12.75" customHeight="1" thickBot="1">
      <c r="A41" s="28" t="str">
        <f t="shared" si="0"/>
        <v> BBS 81 </v>
      </c>
      <c r="B41" s="5" t="str">
        <f t="shared" si="1"/>
        <v>I</v>
      </c>
      <c r="C41" s="28">
        <f t="shared" si="2"/>
        <v>46687.472000000002</v>
      </c>
      <c r="D41" s="12" t="str">
        <f t="shared" si="3"/>
        <v>vis</v>
      </c>
      <c r="E41" s="42">
        <f>VLOOKUP(C41,Active!C$21:E$973,3,FALSE)</f>
        <v>5247.1070518969364</v>
      </c>
      <c r="F41" s="5" t="s">
        <v>61</v>
      </c>
      <c r="G41" s="12" t="str">
        <f t="shared" si="4"/>
        <v>46687.472</v>
      </c>
      <c r="H41" s="28">
        <f t="shared" si="5"/>
        <v>5247</v>
      </c>
      <c r="I41" s="43" t="s">
        <v>134</v>
      </c>
      <c r="J41" s="44" t="s">
        <v>135</v>
      </c>
      <c r="K41" s="43">
        <v>5247</v>
      </c>
      <c r="L41" s="43" t="s">
        <v>136</v>
      </c>
      <c r="M41" s="44" t="s">
        <v>131</v>
      </c>
      <c r="N41" s="44"/>
      <c r="O41" s="45" t="s">
        <v>132</v>
      </c>
      <c r="P41" s="45" t="s">
        <v>137</v>
      </c>
    </row>
    <row r="42" spans="1:16" ht="12.75" customHeight="1" thickBot="1">
      <c r="A42" s="28" t="str">
        <f t="shared" si="0"/>
        <v>BAVM 193 </v>
      </c>
      <c r="B42" s="5" t="str">
        <f t="shared" si="1"/>
        <v>I</v>
      </c>
      <c r="C42" s="28">
        <f t="shared" si="2"/>
        <v>54326.523000000001</v>
      </c>
      <c r="D42" s="12" t="str">
        <f t="shared" si="3"/>
        <v>vis</v>
      </c>
      <c r="E42" s="42">
        <f>VLOOKUP(C42,Active!C$21:E$973,3,FALSE)</f>
        <v>8696.1832625761217</v>
      </c>
      <c r="F42" s="5" t="s">
        <v>61</v>
      </c>
      <c r="G42" s="12" t="str">
        <f t="shared" si="4"/>
        <v>54326.5230</v>
      </c>
      <c r="H42" s="28">
        <f t="shared" si="5"/>
        <v>8696</v>
      </c>
      <c r="I42" s="43" t="s">
        <v>146</v>
      </c>
      <c r="J42" s="44" t="s">
        <v>147</v>
      </c>
      <c r="K42" s="43">
        <v>8696</v>
      </c>
      <c r="L42" s="43" t="s">
        <v>148</v>
      </c>
      <c r="M42" s="44" t="s">
        <v>149</v>
      </c>
      <c r="N42" s="44" t="s">
        <v>150</v>
      </c>
      <c r="O42" s="45" t="s">
        <v>151</v>
      </c>
      <c r="P42" s="46" t="s">
        <v>152</v>
      </c>
    </row>
    <row r="43" spans="1:16" ht="12.75" customHeight="1" thickBot="1">
      <c r="A43" s="28" t="str">
        <f t="shared" si="0"/>
        <v>BAVM 212 </v>
      </c>
      <c r="B43" s="5" t="str">
        <f t="shared" si="1"/>
        <v>I</v>
      </c>
      <c r="C43" s="28">
        <f t="shared" si="2"/>
        <v>55068.517699999997</v>
      </c>
      <c r="D43" s="12" t="str">
        <f t="shared" si="3"/>
        <v>vis</v>
      </c>
      <c r="E43" s="42">
        <f>VLOOKUP(C43,Active!C$21:E$973,3,FALSE)</f>
        <v>9031.1982098804438</v>
      </c>
      <c r="F43" s="5" t="s">
        <v>61</v>
      </c>
      <c r="G43" s="12" t="str">
        <f t="shared" si="4"/>
        <v>55068.5177</v>
      </c>
      <c r="H43" s="28">
        <f t="shared" si="5"/>
        <v>9031</v>
      </c>
      <c r="I43" s="43" t="s">
        <v>153</v>
      </c>
      <c r="J43" s="44" t="s">
        <v>154</v>
      </c>
      <c r="K43" s="43" t="s">
        <v>155</v>
      </c>
      <c r="L43" s="43" t="s">
        <v>156</v>
      </c>
      <c r="M43" s="44" t="s">
        <v>149</v>
      </c>
      <c r="N43" s="44" t="s">
        <v>150</v>
      </c>
      <c r="O43" s="45" t="s">
        <v>151</v>
      </c>
      <c r="P43" s="46" t="s">
        <v>157</v>
      </c>
    </row>
    <row r="44" spans="1:16">
      <c r="B44" s="5"/>
      <c r="F44" s="5"/>
    </row>
    <row r="45" spans="1:16">
      <c r="B45" s="5"/>
      <c r="F45" s="5"/>
    </row>
    <row r="46" spans="1:16">
      <c r="B46" s="5"/>
      <c r="F46" s="5"/>
    </row>
    <row r="47" spans="1:16">
      <c r="B47" s="5"/>
      <c r="F47" s="5"/>
    </row>
    <row r="48" spans="1:16">
      <c r="B48" s="5"/>
      <c r="F48" s="5"/>
    </row>
    <row r="49" spans="2:6">
      <c r="B49" s="5"/>
      <c r="F49" s="5"/>
    </row>
    <row r="50" spans="2:6">
      <c r="B50" s="5"/>
      <c r="F50" s="5"/>
    </row>
    <row r="51" spans="2:6">
      <c r="B51" s="5"/>
      <c r="F51" s="5"/>
    </row>
    <row r="52" spans="2:6">
      <c r="B52" s="5"/>
      <c r="F52" s="5"/>
    </row>
    <row r="53" spans="2:6">
      <c r="B53" s="5"/>
      <c r="F53" s="5"/>
    </row>
    <row r="54" spans="2:6">
      <c r="B54" s="5"/>
      <c r="F54" s="5"/>
    </row>
    <row r="55" spans="2:6">
      <c r="B55" s="5"/>
      <c r="F55" s="5"/>
    </row>
    <row r="56" spans="2:6">
      <c r="B56" s="5"/>
      <c r="F56" s="5"/>
    </row>
    <row r="57" spans="2:6">
      <c r="B57" s="5"/>
      <c r="F57" s="5"/>
    </row>
    <row r="58" spans="2:6">
      <c r="B58" s="5"/>
      <c r="F58" s="5"/>
    </row>
    <row r="59" spans="2:6">
      <c r="B59" s="5"/>
      <c r="F59" s="5"/>
    </row>
    <row r="60" spans="2:6">
      <c r="B60" s="5"/>
      <c r="F60" s="5"/>
    </row>
    <row r="61" spans="2:6">
      <c r="B61" s="5"/>
      <c r="F61" s="5"/>
    </row>
    <row r="62" spans="2:6">
      <c r="B62" s="5"/>
      <c r="F62" s="5"/>
    </row>
    <row r="63" spans="2:6">
      <c r="B63" s="5"/>
      <c r="F63" s="5"/>
    </row>
    <row r="64" spans="2:6">
      <c r="B64" s="5"/>
      <c r="F64" s="5"/>
    </row>
    <row r="65" spans="2:6">
      <c r="B65" s="5"/>
      <c r="F65" s="5"/>
    </row>
    <row r="66" spans="2:6">
      <c r="B66" s="5"/>
      <c r="F66" s="5"/>
    </row>
    <row r="67" spans="2:6">
      <c r="B67" s="5"/>
      <c r="F67" s="5"/>
    </row>
    <row r="68" spans="2:6">
      <c r="B68" s="5"/>
      <c r="F68" s="5"/>
    </row>
    <row r="69" spans="2:6">
      <c r="B69" s="5"/>
      <c r="F69" s="5"/>
    </row>
    <row r="70" spans="2:6">
      <c r="B70" s="5"/>
      <c r="F70" s="5"/>
    </row>
    <row r="71" spans="2:6">
      <c r="B71" s="5"/>
      <c r="F71" s="5"/>
    </row>
    <row r="72" spans="2:6">
      <c r="B72" s="5"/>
      <c r="F72" s="5"/>
    </row>
    <row r="73" spans="2:6">
      <c r="B73" s="5"/>
      <c r="F73" s="5"/>
    </row>
    <row r="74" spans="2:6">
      <c r="B74" s="5"/>
      <c r="F74" s="5"/>
    </row>
    <row r="75" spans="2:6">
      <c r="B75" s="5"/>
      <c r="F75" s="5"/>
    </row>
    <row r="76" spans="2:6">
      <c r="B76" s="5"/>
      <c r="F76" s="5"/>
    </row>
    <row r="77" spans="2:6">
      <c r="B77" s="5"/>
      <c r="F77" s="5"/>
    </row>
    <row r="78" spans="2:6">
      <c r="B78" s="5"/>
      <c r="F78" s="5"/>
    </row>
    <row r="79" spans="2:6">
      <c r="B79" s="5"/>
      <c r="F79" s="5"/>
    </row>
    <row r="80" spans="2:6">
      <c r="B80" s="5"/>
      <c r="F80" s="5"/>
    </row>
    <row r="81" spans="2:6">
      <c r="B81" s="5"/>
      <c r="F81" s="5"/>
    </row>
    <row r="82" spans="2:6">
      <c r="B82" s="5"/>
      <c r="F82" s="5"/>
    </row>
    <row r="83" spans="2:6">
      <c r="B83" s="5"/>
      <c r="F83" s="5"/>
    </row>
    <row r="84" spans="2:6">
      <c r="B84" s="5"/>
      <c r="F84" s="5"/>
    </row>
    <row r="85" spans="2:6">
      <c r="B85" s="5"/>
      <c r="F85" s="5"/>
    </row>
    <row r="86" spans="2:6">
      <c r="B86" s="5"/>
      <c r="F86" s="5"/>
    </row>
    <row r="87" spans="2:6">
      <c r="B87" s="5"/>
      <c r="F87" s="5"/>
    </row>
    <row r="88" spans="2:6">
      <c r="B88" s="5"/>
      <c r="F88" s="5"/>
    </row>
    <row r="89" spans="2:6">
      <c r="B89" s="5"/>
      <c r="F89" s="5"/>
    </row>
    <row r="90" spans="2:6">
      <c r="B90" s="5"/>
      <c r="F90" s="5"/>
    </row>
    <row r="91" spans="2:6">
      <c r="B91" s="5"/>
      <c r="F91" s="5"/>
    </row>
    <row r="92" spans="2:6">
      <c r="B92" s="5"/>
      <c r="F92" s="5"/>
    </row>
    <row r="93" spans="2:6">
      <c r="B93" s="5"/>
      <c r="F93" s="5"/>
    </row>
    <row r="94" spans="2:6">
      <c r="B94" s="5"/>
      <c r="F94" s="5"/>
    </row>
    <row r="95" spans="2:6">
      <c r="B95" s="5"/>
      <c r="F95" s="5"/>
    </row>
    <row r="96" spans="2:6">
      <c r="B96" s="5"/>
      <c r="F96" s="5"/>
    </row>
    <row r="97" spans="2:6">
      <c r="B97" s="5"/>
      <c r="F97" s="5"/>
    </row>
    <row r="98" spans="2:6">
      <c r="B98" s="5"/>
      <c r="F98" s="5"/>
    </row>
    <row r="99" spans="2:6">
      <c r="B99" s="5"/>
      <c r="F99" s="5"/>
    </row>
    <row r="100" spans="2:6">
      <c r="B100" s="5"/>
      <c r="F100" s="5"/>
    </row>
    <row r="101" spans="2:6">
      <c r="B101" s="5"/>
      <c r="F101" s="5"/>
    </row>
    <row r="102" spans="2:6">
      <c r="B102" s="5"/>
      <c r="F102" s="5"/>
    </row>
    <row r="103" spans="2:6">
      <c r="B103" s="5"/>
      <c r="F103" s="5"/>
    </row>
    <row r="104" spans="2:6">
      <c r="B104" s="5"/>
      <c r="F104" s="5"/>
    </row>
    <row r="105" spans="2:6">
      <c r="B105" s="5"/>
      <c r="F105" s="5"/>
    </row>
    <row r="106" spans="2:6">
      <c r="B106" s="5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  <row r="802" spans="2:6">
      <c r="B802" s="5"/>
      <c r="F802" s="5"/>
    </row>
    <row r="803" spans="2:6">
      <c r="B803" s="5"/>
      <c r="F803" s="5"/>
    </row>
    <row r="804" spans="2:6">
      <c r="B804" s="5"/>
      <c r="F804" s="5"/>
    </row>
    <row r="805" spans="2:6">
      <c r="B805" s="5"/>
      <c r="F805" s="5"/>
    </row>
    <row r="806" spans="2:6">
      <c r="B806" s="5"/>
      <c r="F806" s="5"/>
    </row>
    <row r="807" spans="2:6">
      <c r="B807" s="5"/>
      <c r="F807" s="5"/>
    </row>
  </sheetData>
  <phoneticPr fontId="8" type="noConversion"/>
  <hyperlinks>
    <hyperlink ref="P42" r:id="rId1" display="http://www.bav-astro.de/sfs/BAVM_link.php?BAVMnr=193"/>
    <hyperlink ref="P43" r:id="rId2" display="http://www.bav-astro.de/sfs/BAVM_link.php?BAVMnr=212"/>
    <hyperlink ref="P14" r:id="rId3" display="http://www.bav-astro.de/sfs/BAVM_link.php?BAVMnr=214"/>
    <hyperlink ref="P15" r:id="rId4" display="http://www.bav-astro.de/sfs/BAVM_link.php?BAVMnr=215"/>
    <hyperlink ref="P16" r:id="rId5" display="http://www.bav-astro.de/sfs/BAVM_link.php?BAVMnr=214"/>
    <hyperlink ref="P17" r:id="rId6" display="http://www.bav-astro.de/sfs/BAVM_link.php?BAVMnr=215"/>
    <hyperlink ref="P18" r:id="rId7" display="http://www.bav-astro.de/sfs/BAVM_link.php?BAVMnr=220"/>
    <hyperlink ref="P19" r:id="rId8" display="http://www.konkoly.hu/cgi-bin/IBVS?599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2024-01-30T05:42:03Z</dcterms:modified>
</cp:coreProperties>
</file>