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4680AA1-5376-4F09-8627-60A8A8886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61" i="1" l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F64" i="1"/>
  <c r="G64" i="1"/>
  <c r="K64" i="1" s="1"/>
  <c r="Q64" i="1"/>
  <c r="C7" i="1"/>
  <c r="E29" i="1"/>
  <c r="F29" i="1"/>
  <c r="G29" i="1"/>
  <c r="I29" i="1"/>
  <c r="C8" i="1"/>
  <c r="E30" i="1"/>
  <c r="F30" i="1"/>
  <c r="G30" i="1"/>
  <c r="I30" i="1"/>
  <c r="E31" i="1"/>
  <c r="F31" i="1"/>
  <c r="G31" i="1"/>
  <c r="I31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E47" i="1"/>
  <c r="F47" i="1"/>
  <c r="G47" i="1"/>
  <c r="I47" i="1"/>
  <c r="E54" i="1"/>
  <c r="F54" i="1"/>
  <c r="G54" i="1"/>
  <c r="I54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1" i="1"/>
  <c r="F21" i="1"/>
  <c r="G21" i="1"/>
  <c r="I21" i="1"/>
  <c r="E22" i="1"/>
  <c r="F22" i="1"/>
  <c r="G22" i="1"/>
  <c r="I22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E48" i="1"/>
  <c r="F48" i="1"/>
  <c r="G48" i="1"/>
  <c r="I48" i="1"/>
  <c r="E32" i="1"/>
  <c r="F32" i="1"/>
  <c r="G32" i="1"/>
  <c r="H32" i="1"/>
  <c r="E49" i="1"/>
  <c r="F49" i="1"/>
  <c r="G49" i="1"/>
  <c r="J49" i="1"/>
  <c r="E50" i="1"/>
  <c r="F50" i="1"/>
  <c r="G50" i="1"/>
  <c r="J50" i="1"/>
  <c r="E51" i="1"/>
  <c r="F51" i="1"/>
  <c r="G51" i="1"/>
  <c r="J51" i="1"/>
  <c r="E52" i="1"/>
  <c r="F52" i="1"/>
  <c r="G52" i="1"/>
  <c r="J52" i="1"/>
  <c r="E53" i="1"/>
  <c r="F53" i="1"/>
  <c r="G53" i="1"/>
  <c r="J53" i="1"/>
  <c r="D9" i="1"/>
  <c r="C9" i="1"/>
  <c r="F16" i="1"/>
  <c r="F17" i="1" s="1"/>
  <c r="Q21" i="1"/>
  <c r="Q22" i="1"/>
  <c r="Q23" i="1"/>
  <c r="Q24" i="1"/>
  <c r="Q25" i="1"/>
  <c r="Q26" i="1"/>
  <c r="Q27" i="1"/>
  <c r="Q28" i="1"/>
  <c r="Q29" i="1"/>
  <c r="Q30" i="1"/>
  <c r="Q31" i="1"/>
  <c r="Q33" i="1"/>
  <c r="Q34" i="1"/>
  <c r="Q35" i="1"/>
  <c r="Q36" i="1"/>
  <c r="Q37" i="1"/>
  <c r="I38" i="1"/>
  <c r="Q38" i="1"/>
  <c r="Q39" i="1"/>
  <c r="Q40" i="1"/>
  <c r="Q41" i="1"/>
  <c r="Q42" i="1"/>
  <c r="Q43" i="1"/>
  <c r="Q44" i="1"/>
  <c r="Q45" i="1"/>
  <c r="I46" i="1"/>
  <c r="Q46" i="1"/>
  <c r="Q47" i="1"/>
  <c r="Q48" i="1"/>
  <c r="Q54" i="1"/>
  <c r="Q55" i="1"/>
  <c r="Q56" i="1"/>
  <c r="Q57" i="1"/>
  <c r="Q58" i="1"/>
  <c r="Q59" i="1"/>
  <c r="I60" i="1"/>
  <c r="Q60" i="1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47" i="3"/>
  <c r="C47" i="3"/>
  <c r="E47" i="3"/>
  <c r="G46" i="3"/>
  <c r="C46" i="3"/>
  <c r="E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F11" i="2"/>
  <c r="Q24" i="2"/>
  <c r="C7" i="2"/>
  <c r="C8" i="2"/>
  <c r="G11" i="2"/>
  <c r="Q22" i="2"/>
  <c r="Q23" i="2"/>
  <c r="E14" i="2"/>
  <c r="E15" i="2" s="1"/>
  <c r="C17" i="2"/>
  <c r="Q21" i="2"/>
  <c r="Q49" i="1"/>
  <c r="Q50" i="1"/>
  <c r="Q51" i="1"/>
  <c r="Q52" i="1"/>
  <c r="Q53" i="1"/>
  <c r="C17" i="1"/>
  <c r="Q32" i="1"/>
  <c r="G24" i="2"/>
  <c r="I24" i="2"/>
  <c r="E24" i="2"/>
  <c r="F24" i="2"/>
  <c r="E23" i="2"/>
  <c r="F23" i="2"/>
  <c r="E22" i="2"/>
  <c r="F22" i="2"/>
  <c r="G22" i="2"/>
  <c r="I22" i="2"/>
  <c r="G23" i="2"/>
  <c r="I23" i="2"/>
  <c r="E21" i="2"/>
  <c r="F21" i="2"/>
  <c r="C11" i="1"/>
  <c r="C12" i="1"/>
  <c r="C12" i="2"/>
  <c r="O63" i="1" l="1"/>
  <c r="O61" i="1"/>
  <c r="O62" i="1"/>
  <c r="O64" i="1"/>
  <c r="C16" i="2"/>
  <c r="D18" i="2" s="1"/>
  <c r="C16" i="1"/>
  <c r="D18" i="1" s="1"/>
  <c r="O45" i="1"/>
  <c r="O34" i="1"/>
  <c r="O58" i="1"/>
  <c r="O43" i="1"/>
  <c r="C15" i="1"/>
  <c r="O44" i="1"/>
  <c r="O30" i="1"/>
  <c r="O55" i="1"/>
  <c r="O23" i="1"/>
  <c r="O52" i="1"/>
  <c r="O33" i="1"/>
  <c r="O22" i="1"/>
  <c r="O42" i="1"/>
  <c r="O53" i="1"/>
  <c r="O56" i="1"/>
  <c r="O24" i="1"/>
  <c r="O57" i="1"/>
  <c r="O47" i="1"/>
  <c r="O32" i="1"/>
  <c r="O40" i="1"/>
  <c r="O29" i="1"/>
  <c r="O54" i="1"/>
  <c r="O49" i="1"/>
  <c r="O26" i="1"/>
  <c r="O27" i="1"/>
  <c r="O25" i="1"/>
  <c r="O35" i="1"/>
  <c r="O36" i="1"/>
  <c r="O39" i="1"/>
  <c r="O51" i="1"/>
  <c r="O31" i="1"/>
  <c r="O21" i="1"/>
  <c r="O41" i="1"/>
  <c r="O60" i="1"/>
  <c r="O28" i="1"/>
  <c r="O48" i="1"/>
  <c r="O38" i="1"/>
  <c r="O50" i="1"/>
  <c r="O37" i="1"/>
  <c r="O46" i="1"/>
  <c r="O59" i="1"/>
  <c r="C11" i="2"/>
  <c r="O22" i="2" l="1"/>
  <c r="O23" i="2"/>
  <c r="O24" i="2"/>
  <c r="C15" i="2"/>
  <c r="C18" i="1"/>
  <c r="F18" i="1"/>
  <c r="F19" i="1" s="1"/>
  <c r="C18" i="2" l="1"/>
  <c r="E16" i="2"/>
  <c r="E17" i="2" s="1"/>
</calcChain>
</file>

<file path=xl/sharedStrings.xml><?xml version="1.0" encoding="utf-8"?>
<sst xmlns="http://schemas.openxmlformats.org/spreadsheetml/2006/main" count="561" uniqueCount="233">
  <si>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</si>
  <si>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</si>
  <si>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</si>
  <si>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</si>
  <si>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</si>
  <si>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</si>
  <si>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</si>
  <si>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</si>
  <si>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</si>
  <si>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</si>
  <si>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</si>
  <si>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</si>
  <si>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</si>
  <si>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</si>
  <si>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</si>
  <si>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</si>
  <si>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</si>
  <si>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</si>
  <si>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</si>
  <si>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</si>
  <si>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</si>
  <si>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</si>
  <si>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</si>
  <si>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</si>
  <si>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</si>
  <si>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</si>
  <si>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</si>
  <si>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</si>
  <si>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</si>
  <si>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</si>
  <si>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</si>
  <si>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</si>
  <si>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</si>
  <si>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</si>
  <si>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GG Cyg / GSC 02673-03269</t>
  </si>
  <si>
    <t>IBVS 5731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</si>
  <si>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</si>
  <si>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</si>
  <si>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</si>
  <si>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</si>
  <si>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</si>
  <si>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</si>
  <si>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</si>
  <si>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</si>
  <si>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I</t>
  </si>
  <si>
    <t>Add cycle</t>
  </si>
  <si>
    <t>Old Cycle</t>
  </si>
  <si>
    <t>Start of linear fit &gt;&gt;&gt;&gt;&gt;&gt;&gt;&gt;&gt;&gt;&gt;&gt;&gt;&gt;&gt;&gt;&gt;&gt;&gt;&gt;&gt;</t>
  </si>
  <si>
    <t>IBVS 5959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</si>
  <si>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</si>
  <si>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</si>
  <si>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</si>
  <si>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</si>
  <si>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</si>
  <si>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</si>
  <si>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</si>
  <si>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</si>
  <si>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</si>
  <si>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</si>
  <si>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</si>
  <si>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</si>
  <si>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</si>
  <si>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</si>
  <si>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2415288.34 </t>
  </si>
  <si>
    <t> 25.09.1900 20:09 </t>
  </si>
  <si>
    <t> -0.14 </t>
  </si>
  <si>
    <t>P </t>
  </si>
  <si>
    <t> P.Parenago </t>
  </si>
  <si>
    <t> PZ 4.314 </t>
  </si>
  <si>
    <t>2418596.22 </t>
  </si>
  <si>
    <t> 16.10.1909 17:16 </t>
  </si>
  <si>
    <t> -0.04 </t>
  </si>
  <si>
    <t>2425145.430 </t>
  </si>
  <si>
    <t> 21.09.1927 22:19 </t>
  </si>
  <si>
    <t> -0.109 </t>
  </si>
  <si>
    <t> P.Ahnert </t>
  </si>
  <si>
    <t> KVBB 24.78 </t>
  </si>
  <si>
    <t>2425362.494 </t>
  </si>
  <si>
    <t> 25.04.1928 23:51 </t>
  </si>
  <si>
    <t> 0.052 </t>
  </si>
  <si>
    <t>2425366.564 </t>
  </si>
  <si>
    <t> 30.04.1928 01:32 </t>
  </si>
  <si>
    <t> 0.105 </t>
  </si>
  <si>
    <t>2425396.472 </t>
  </si>
  <si>
    <t> 29.05.1928 23:19 </t>
  </si>
  <si>
    <t> -0.112 </t>
  </si>
  <si>
    <t>2425647.689 </t>
  </si>
  <si>
    <t> 05.02.1929 04:32 </t>
  </si>
  <si>
    <t> 0.059 </t>
  </si>
  <si>
    <t>2425653.679 </t>
  </si>
  <si>
    <t> 11.02.1929 04:17 </t>
  </si>
  <si>
    <t> 0.024 </t>
  </si>
  <si>
    <t>2428280.588 </t>
  </si>
  <si>
    <t> 22.04.1936 02:06 </t>
  </si>
  <si>
    <t> -0.008 </t>
  </si>
  <si>
    <t> A.A.Wachmann </t>
  </si>
  <si>
    <t> AAAN 11.5.14 </t>
  </si>
  <si>
    <t>2429186.371 </t>
  </si>
  <si>
    <t> 14.10.1938 20:54 </t>
  </si>
  <si>
    <t> 0.002 </t>
  </si>
  <si>
    <t>2432327.450 </t>
  </si>
  <si>
    <t> 21.05.1947 22:48 </t>
  </si>
  <si>
    <t> -0.001 </t>
  </si>
  <si>
    <t> AHSB 6.2.165 </t>
  </si>
  <si>
    <t>2432793.405 </t>
  </si>
  <si>
    <t> 29.08.1948 21:43 </t>
  </si>
  <si>
    <t> 0.013 </t>
  </si>
  <si>
    <t>2432797.420 </t>
  </si>
  <si>
    <t> 02.09.1948 22:04 </t>
  </si>
  <si>
    <t> 0.011 </t>
  </si>
  <si>
    <t>2433504.365 </t>
  </si>
  <si>
    <t> 10.08.1950 20:45 </t>
  </si>
  <si>
    <t> 0.012 </t>
  </si>
  <si>
    <t>2433506.355 </t>
  </si>
  <si>
    <t> 12.08.1950 20:31 </t>
  </si>
  <si>
    <t> -0.007 </t>
  </si>
  <si>
    <t>2433512.390 </t>
  </si>
  <si>
    <t> 18.08.1950 21:21 </t>
  </si>
  <si>
    <t> 0.003 </t>
  </si>
  <si>
    <t>2433514.375 </t>
  </si>
  <si>
    <t> 20.08.1950 21:00 </t>
  </si>
  <si>
    <t> -0.020 </t>
  </si>
  <si>
    <t>2434237.425 </t>
  </si>
  <si>
    <t> 12.08.1952 22:12 </t>
  </si>
  <si>
    <t> 0.019 </t>
  </si>
  <si>
    <t>2434239.390 </t>
  </si>
  <si>
    <t> 14.08.1952 21:21 </t>
  </si>
  <si>
    <t> -0.025 </t>
  </si>
  <si>
    <t>2434707.365 </t>
  </si>
  <si>
    <t> 25.11.1953 20:45 </t>
  </si>
  <si>
    <t> 0.001 </t>
  </si>
  <si>
    <t>2434980.498 </t>
  </si>
  <si>
    <t> 25.08.1954 23:57 </t>
  </si>
  <si>
    <t>2435398.245 </t>
  </si>
  <si>
    <t> 17.10.1955 17:52 </t>
  </si>
  <si>
    <t> 0.004 </t>
  </si>
  <si>
    <t>2435428.385 </t>
  </si>
  <si>
    <t> 16.11.1955 21:14 </t>
  </si>
  <si>
    <t> 0.018 </t>
  </si>
  <si>
    <t>2435432.372 </t>
  </si>
  <si>
    <t> 20.11.1955 20:55 </t>
  </si>
  <si>
    <t> -0.011 </t>
  </si>
  <si>
    <t>2436848.280 </t>
  </si>
  <si>
    <t> 06.10.1959 18:43 </t>
  </si>
  <si>
    <t>2437143.505 </t>
  </si>
  <si>
    <t> 28.07.1960 00:07 </t>
  </si>
  <si>
    <t> -0.005 </t>
  </si>
  <si>
    <t>2447671.415 </t>
  </si>
  <si>
    <t> 24.05.1989 21:57 </t>
  </si>
  <si>
    <t> 0.056 </t>
  </si>
  <si>
    <t> P.Frank </t>
  </si>
  <si>
    <t>BAVM 56 </t>
  </si>
  <si>
    <t>2452595.972 </t>
  </si>
  <si>
    <t> 17.11.2002 11:19 </t>
  </si>
  <si>
    <t> 0.102 </t>
  </si>
  <si>
    <t>C </t>
  </si>
  <si>
    <t> P.Sobotka (ESA INTEGRAL) </t>
  </si>
  <si>
    <t>IBVS 5809 </t>
  </si>
  <si>
    <t>2452606.018 </t>
  </si>
  <si>
    <t> 27.11.2002 12:25 </t>
  </si>
  <si>
    <t> 0.107 </t>
  </si>
  <si>
    <t>2452608.0257 </t>
  </si>
  <si>
    <t> 29.11.2002 12:37 </t>
  </si>
  <si>
    <t> 0.1060 </t>
  </si>
  <si>
    <t>2452610.036 </t>
  </si>
  <si>
    <t> 01.12.2002 12:51 </t>
  </si>
  <si>
    <t> 0.108 </t>
  </si>
  <si>
    <t>2452612.0474 </t>
  </si>
  <si>
    <t> 03.12.2002 13:08 </t>
  </si>
  <si>
    <t> 0.1110 </t>
  </si>
  <si>
    <t>2453656.4096 </t>
  </si>
  <si>
    <t> 12.10.2005 21:49 </t>
  </si>
  <si>
    <t> 0.1234 </t>
  </si>
  <si>
    <t>-I</t>
  </si>
  <si>
    <t> K.&amp; M.Rätz </t>
  </si>
  <si>
    <t>BAVM 178 </t>
  </si>
  <si>
    <t>2453656.4103 </t>
  </si>
  <si>
    <t> 12.10.2005 21:50 </t>
  </si>
  <si>
    <t>10388</t>
  </si>
  <si>
    <t> 0.1241 </t>
  </si>
  <si>
    <t>2453658.4057 </t>
  </si>
  <si>
    <t> 14.10.2005 21:44 </t>
  </si>
  <si>
    <t>10389</t>
  </si>
  <si>
    <t> 0.1112 </t>
  </si>
  <si>
    <t>o</t>
  </si>
  <si>
    <t> U.Schmidt </t>
  </si>
  <si>
    <t>2453658.4143 </t>
  </si>
  <si>
    <t> 14.10.2005 21:56 </t>
  </si>
  <si>
    <t> 0.1198 </t>
  </si>
  <si>
    <t> F.Agerer </t>
  </si>
  <si>
    <t>2453660.4218 </t>
  </si>
  <si>
    <t> 16.10.2005 22:07 </t>
  </si>
  <si>
    <t>10390</t>
  </si>
  <si>
    <t> 0.1189 </t>
  </si>
  <si>
    <t>2453919.5050 </t>
  </si>
  <si>
    <t> 03.07.2006 00:07 </t>
  </si>
  <si>
    <t>10519</t>
  </si>
  <si>
    <t> 0.1230 </t>
  </si>
  <si>
    <t> R.Diethelm </t>
  </si>
  <si>
    <t> BBS 133 (=IBVS 5781) </t>
  </si>
  <si>
    <t>2454365.3636 </t>
  </si>
  <si>
    <t> 21.09.2007 20:43 </t>
  </si>
  <si>
    <t>10741</t>
  </si>
  <si>
    <t> 0.1246 </t>
  </si>
  <si>
    <t>BAVM 193 </t>
  </si>
  <si>
    <t>2454367.3791 </t>
  </si>
  <si>
    <t> 23.09.2007 21:05 </t>
  </si>
  <si>
    <t>10742</t>
  </si>
  <si>
    <t> 0.1318 </t>
  </si>
  <si>
    <t>2455096.4211 </t>
  </si>
  <si>
    <t> 21.09.2009 22:06 </t>
  </si>
  <si>
    <t>11105</t>
  </si>
  <si>
    <t> 0.1373 </t>
  </si>
  <si>
    <t>BAVM 212 </t>
  </si>
  <si>
    <t>2455359.5168 </t>
  </si>
  <si>
    <t> 12.06.2010 00:24 </t>
  </si>
  <si>
    <t>11236</t>
  </si>
  <si>
    <t> 0.1372 </t>
  </si>
  <si>
    <t>BAVM 214 </t>
  </si>
  <si>
    <t>2455801.3626 </t>
  </si>
  <si>
    <t> 27.08.2011 20:42 </t>
  </si>
  <si>
    <t>11456</t>
  </si>
  <si>
    <t> 0.1428 </t>
  </si>
  <si>
    <t>BAVM 225 </t>
  </si>
  <si>
    <t>2456074.5010 </t>
  </si>
  <si>
    <t> 27.05.2012 00:01 </t>
  </si>
  <si>
    <t>11592</t>
  </si>
  <si>
    <t> 0.1435 </t>
  </si>
  <si>
    <t>BAVM 231 </t>
  </si>
  <si>
    <t>BAD?</t>
  </si>
  <si>
    <t>JBAV, 60</t>
  </si>
  <si>
    <t>II</t>
  </si>
  <si>
    <t> BBS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</si>
</sst>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Cyg - O-C Diagr.</a:t>
            </a:r>
          </a:p>
        </c:rich>
      </c:tx>
      <c:layout>
        <c:manualLayout>
          <c:xMode val="edge"/>
          <c:yMode val="edge"/>
          <c:x val="0.3747984006038017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0613956966532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6A-4472-8A3F-502922A5E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-0.14388024000072619</c:v>
                </c:pt>
                <c:pt idx="1">
                  <c:v>-4.0804659998684656E-2</c:v>
                </c:pt>
                <c:pt idx="2">
                  <c:v>-0.1086131199990632</c:v>
                </c:pt>
                <c:pt idx="3">
                  <c:v>5.1981999997224193E-2</c:v>
                </c:pt>
                <c:pt idx="4">
                  <c:v>0.10525227999823983</c:v>
                </c:pt>
                <c:pt idx="5">
                  <c:v>-0.11222061999797006</c:v>
                </c:pt>
                <c:pt idx="6">
                  <c:v>5.9171879998757504E-2</c:v>
                </c:pt>
                <c:pt idx="7">
                  <c:v>2.4077300000499235E-2</c:v>
                </c:pt>
                <c:pt idx="8">
                  <c:v>-8.1595800002105534E-3</c:v>
                </c:pt>
                <c:pt idx="9">
                  <c:v>2.288559997396078E-3</c:v>
                </c:pt>
                <c:pt idx="10">
                  <c:v>-1.3524799978767987E-3</c:v>
                </c:pt>
                <c:pt idx="12">
                  <c:v>1.299999999901047E-2</c:v>
                </c:pt>
                <c:pt idx="13">
                  <c:v>1.1270279996097088E-2</c:v>
                </c:pt>
                <c:pt idx="14">
                  <c:v>1.1839560000225902E-2</c:v>
                </c:pt>
                <c:pt idx="15">
                  <c:v>-6.5252999993390404E-3</c:v>
                </c:pt>
                <c:pt idx="16">
                  <c:v>3.3801199970184825E-3</c:v>
                </c:pt>
                <c:pt idx="17">
                  <c:v>-1.9984739999927115E-2</c:v>
                </c:pt>
                <c:pt idx="18">
                  <c:v>1.8665660005353857E-2</c:v>
                </c:pt>
                <c:pt idx="19">
                  <c:v>-2.4699200002942234E-2</c:v>
                </c:pt>
                <c:pt idx="20">
                  <c:v>1.2884199968539178E-3</c:v>
                </c:pt>
                <c:pt idx="21">
                  <c:v>-3.3325399999739602E-3</c:v>
                </c:pt>
                <c:pt idx="22">
                  <c:v>3.7765800007036887E-3</c:v>
                </c:pt>
                <c:pt idx="23">
                  <c:v>1.8303680000826716E-2</c:v>
                </c:pt>
                <c:pt idx="24">
                  <c:v>-1.1426040000515059E-2</c:v>
                </c:pt>
                <c:pt idx="25">
                  <c:v>-6.5234000066993758E-4</c:v>
                </c:pt>
                <c:pt idx="26">
                  <c:v>-5.2867600024910644E-3</c:v>
                </c:pt>
                <c:pt idx="27">
                  <c:v>5.6117120002454612E-2</c:v>
                </c:pt>
                <c:pt idx="33">
                  <c:v>0.12303765999968164</c:v>
                </c:pt>
                <c:pt idx="34">
                  <c:v>0.12463874000241049</c:v>
                </c:pt>
                <c:pt idx="35">
                  <c:v>0.13177387999894563</c:v>
                </c:pt>
                <c:pt idx="36">
                  <c:v>0.13732970000273781</c:v>
                </c:pt>
                <c:pt idx="37">
                  <c:v>0.13723303999722702</c:v>
                </c:pt>
                <c:pt idx="38">
                  <c:v>0.14276383999822428</c:v>
                </c:pt>
                <c:pt idx="39">
                  <c:v>0.14354287999594817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6A-4472-8A3F-502922A5ED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8">
                  <c:v>0.12343432000488974</c:v>
                </c:pt>
                <c:pt idx="29">
                  <c:v>0.12413432000903413</c:v>
                </c:pt>
                <c:pt idx="30">
                  <c:v>0.11116946000402095</c:v>
                </c:pt>
                <c:pt idx="31">
                  <c:v>0.11976945999776945</c:v>
                </c:pt>
                <c:pt idx="32">
                  <c:v>0.11890459999267478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6A-4472-8A3F-502922A5ED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40">
                  <c:v>0.2350982700008899</c:v>
                </c:pt>
                <c:pt idx="41">
                  <c:v>0.20731584000168368</c:v>
                </c:pt>
                <c:pt idx="42">
                  <c:v>0.24473340999975335</c:v>
                </c:pt>
                <c:pt idx="43">
                  <c:v>0.21205098000064027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6A-4472-8A3F-502922A5ED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6A-4472-8A3F-502922A5E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6A-4472-8A3F-502922A5E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6A-4472-8A3F-502922A5E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-0.5926518793937785</c:v>
                </c:pt>
                <c:pt idx="1">
                  <c:v>-0.53165060321547908</c:v>
                </c:pt>
                <c:pt idx="2">
                  <c:v>-0.41087029865115954</c:v>
                </c:pt>
                <c:pt idx="3">
                  <c:v>-0.40687021496733655</c:v>
                </c:pt>
                <c:pt idx="4">
                  <c:v>-0.40679613934356207</c:v>
                </c:pt>
                <c:pt idx="5">
                  <c:v>-0.40624057216525333</c:v>
                </c:pt>
                <c:pt idx="6">
                  <c:v>-0.40161084567934724</c:v>
                </c:pt>
                <c:pt idx="7">
                  <c:v>-0.40149973224368546</c:v>
                </c:pt>
                <c:pt idx="8">
                  <c:v>-0.35305427429516351</c:v>
                </c:pt>
                <c:pt idx="9">
                  <c:v>-0.33635022113401414</c:v>
                </c:pt>
                <c:pt idx="10">
                  <c:v>-0.27842308334235638</c:v>
                </c:pt>
                <c:pt idx="11">
                  <c:v>-0.26983031098451454</c:v>
                </c:pt>
                <c:pt idx="12">
                  <c:v>-0.26983031098451454</c:v>
                </c:pt>
                <c:pt idx="13">
                  <c:v>-0.26975623536074006</c:v>
                </c:pt>
                <c:pt idx="14">
                  <c:v>-0.25671892557642834</c:v>
                </c:pt>
                <c:pt idx="15">
                  <c:v>-0.25668188776454109</c:v>
                </c:pt>
                <c:pt idx="16">
                  <c:v>-0.25657077432887931</c:v>
                </c:pt>
                <c:pt idx="17">
                  <c:v>-0.25653373651699207</c:v>
                </c:pt>
                <c:pt idx="18">
                  <c:v>-0.24320012423758236</c:v>
                </c:pt>
                <c:pt idx="19">
                  <c:v>-0.24316308642569512</c:v>
                </c:pt>
                <c:pt idx="20">
                  <c:v>-0.23453327625596604</c:v>
                </c:pt>
                <c:pt idx="21">
                  <c:v>-0.22949613383930018</c:v>
                </c:pt>
                <c:pt idx="22">
                  <c:v>-0.22179226896675233</c:v>
                </c:pt>
                <c:pt idx="23">
                  <c:v>-0.2212367017884436</c:v>
                </c:pt>
                <c:pt idx="24">
                  <c:v>-0.22116262616466908</c:v>
                </c:pt>
                <c:pt idx="25">
                  <c:v>-0.1950509687841584</c:v>
                </c:pt>
                <c:pt idx="26">
                  <c:v>-0.18960641043673276</c:v>
                </c:pt>
                <c:pt idx="27">
                  <c:v>4.5457994762275189E-3</c:v>
                </c:pt>
                <c:pt idx="28">
                  <c:v>0.11491847890023016</c:v>
                </c:pt>
                <c:pt idx="29">
                  <c:v>0.11491847890023016</c:v>
                </c:pt>
                <c:pt idx="30">
                  <c:v>0.1149555167121174</c:v>
                </c:pt>
                <c:pt idx="31">
                  <c:v>0.1149555167121174</c:v>
                </c:pt>
                <c:pt idx="32">
                  <c:v>0.11499255452400464</c:v>
                </c:pt>
                <c:pt idx="33">
                  <c:v>0.11977043225745981</c:v>
                </c:pt>
                <c:pt idx="34">
                  <c:v>0.12799282649642912</c:v>
                </c:pt>
                <c:pt idx="35">
                  <c:v>0.12802986430831637</c:v>
                </c:pt>
                <c:pt idx="36">
                  <c:v>0.1414745900233878</c:v>
                </c:pt>
                <c:pt idx="37">
                  <c:v>0.14632654338061746</c:v>
                </c:pt>
                <c:pt idx="38">
                  <c:v>0.15447486199581228</c:v>
                </c:pt>
                <c:pt idx="39">
                  <c:v>0.1595120044124782</c:v>
                </c:pt>
                <c:pt idx="40">
                  <c:v>0.22112440448691723</c:v>
                </c:pt>
                <c:pt idx="41">
                  <c:v>0.22114292339286085</c:v>
                </c:pt>
                <c:pt idx="42">
                  <c:v>0.22116144229880447</c:v>
                </c:pt>
                <c:pt idx="43">
                  <c:v>0.22117996120474809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6A-4472-8A3F-502922A5ED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Active!$U$21:$U$988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6A-4472-8A3F-502922A5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41760"/>
        <c:axId val="1"/>
      </c:scatterChart>
      <c:valAx>
        <c:axId val="7967417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41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9063810480879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Cyg - O-C Diagr.</a:t>
            </a:r>
          </a:p>
        </c:rich>
      </c:tx>
      <c:layout>
        <c:manualLayout>
          <c:xMode val="edge"/>
          <c:yMode val="edge"/>
          <c:x val="0.3741935483870967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64516129032257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30-4C7A-AE21-C5B83358A2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-0.14388024000072619</c:v>
                </c:pt>
                <c:pt idx="1">
                  <c:v>-4.0804659998684656E-2</c:v>
                </c:pt>
                <c:pt idx="2">
                  <c:v>-0.1086131199990632</c:v>
                </c:pt>
                <c:pt idx="3">
                  <c:v>5.1981999997224193E-2</c:v>
                </c:pt>
                <c:pt idx="4">
                  <c:v>0.10525227999823983</c:v>
                </c:pt>
                <c:pt idx="5">
                  <c:v>-0.11222061999797006</c:v>
                </c:pt>
                <c:pt idx="6">
                  <c:v>5.9171879998757504E-2</c:v>
                </c:pt>
                <c:pt idx="7">
                  <c:v>2.4077300000499235E-2</c:v>
                </c:pt>
                <c:pt idx="8">
                  <c:v>-8.1595800002105534E-3</c:v>
                </c:pt>
                <c:pt idx="9">
                  <c:v>2.288559997396078E-3</c:v>
                </c:pt>
                <c:pt idx="10">
                  <c:v>-1.3524799978767987E-3</c:v>
                </c:pt>
                <c:pt idx="12">
                  <c:v>1.299999999901047E-2</c:v>
                </c:pt>
                <c:pt idx="13">
                  <c:v>1.1270279996097088E-2</c:v>
                </c:pt>
                <c:pt idx="14">
                  <c:v>1.1839560000225902E-2</c:v>
                </c:pt>
                <c:pt idx="15">
                  <c:v>-6.5252999993390404E-3</c:v>
                </c:pt>
                <c:pt idx="16">
                  <c:v>3.3801199970184825E-3</c:v>
                </c:pt>
                <c:pt idx="17">
                  <c:v>-1.9984739999927115E-2</c:v>
                </c:pt>
                <c:pt idx="18">
                  <c:v>1.8665660005353857E-2</c:v>
                </c:pt>
                <c:pt idx="19">
                  <c:v>-2.4699200002942234E-2</c:v>
                </c:pt>
                <c:pt idx="20">
                  <c:v>1.2884199968539178E-3</c:v>
                </c:pt>
                <c:pt idx="21">
                  <c:v>-3.3325399999739602E-3</c:v>
                </c:pt>
                <c:pt idx="22">
                  <c:v>3.7765800007036887E-3</c:v>
                </c:pt>
                <c:pt idx="23">
                  <c:v>1.8303680000826716E-2</c:v>
                </c:pt>
                <c:pt idx="24">
                  <c:v>-1.1426040000515059E-2</c:v>
                </c:pt>
                <c:pt idx="25">
                  <c:v>-6.5234000066993758E-4</c:v>
                </c:pt>
                <c:pt idx="26">
                  <c:v>-5.2867600024910644E-3</c:v>
                </c:pt>
                <c:pt idx="27">
                  <c:v>5.6117120002454612E-2</c:v>
                </c:pt>
                <c:pt idx="33">
                  <c:v>0.12303765999968164</c:v>
                </c:pt>
                <c:pt idx="34">
                  <c:v>0.12463874000241049</c:v>
                </c:pt>
                <c:pt idx="35">
                  <c:v>0.13177387999894563</c:v>
                </c:pt>
                <c:pt idx="36">
                  <c:v>0.13732970000273781</c:v>
                </c:pt>
                <c:pt idx="37">
                  <c:v>0.13723303999722702</c:v>
                </c:pt>
                <c:pt idx="38">
                  <c:v>0.14276383999822428</c:v>
                </c:pt>
                <c:pt idx="39">
                  <c:v>0.14354287999594817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30-4C7A-AE21-C5B83358A2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8">
                  <c:v>0.12343432000488974</c:v>
                </c:pt>
                <c:pt idx="29">
                  <c:v>0.12413432000903413</c:v>
                </c:pt>
                <c:pt idx="30">
                  <c:v>0.11116946000402095</c:v>
                </c:pt>
                <c:pt idx="31">
                  <c:v>0.11976945999776945</c:v>
                </c:pt>
                <c:pt idx="32">
                  <c:v>0.11890459999267478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30-4C7A-AE21-C5B83358A2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40">
                  <c:v>0.2350982700008899</c:v>
                </c:pt>
                <c:pt idx="41">
                  <c:v>0.20731584000168368</c:v>
                </c:pt>
                <c:pt idx="42">
                  <c:v>0.24473340999975335</c:v>
                </c:pt>
                <c:pt idx="43">
                  <c:v>0.21205098000064027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30-4C7A-AE21-C5B83358A2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30-4C7A-AE21-C5B83358A2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30-4C7A-AE21-C5B83358A2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1.5E-3</c:v>
                  </c:pt>
                  <c:pt idx="30">
                    <c:v>3.5999999999999999E-3</c:v>
                  </c:pt>
                  <c:pt idx="31">
                    <c:v>6.9999999999999999E-4</c:v>
                  </c:pt>
                  <c:pt idx="32">
                    <c:v>8.0000000000000004E-4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30-4C7A-AE21-C5B83358A2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-0.5926518793937785</c:v>
                </c:pt>
                <c:pt idx="1">
                  <c:v>-0.53165060321547908</c:v>
                </c:pt>
                <c:pt idx="2">
                  <c:v>-0.41087029865115954</c:v>
                </c:pt>
                <c:pt idx="3">
                  <c:v>-0.40687021496733655</c:v>
                </c:pt>
                <c:pt idx="4">
                  <c:v>-0.40679613934356207</c:v>
                </c:pt>
                <c:pt idx="5">
                  <c:v>-0.40624057216525333</c:v>
                </c:pt>
                <c:pt idx="6">
                  <c:v>-0.40161084567934724</c:v>
                </c:pt>
                <c:pt idx="7">
                  <c:v>-0.40149973224368546</c:v>
                </c:pt>
                <c:pt idx="8">
                  <c:v>-0.35305427429516351</c:v>
                </c:pt>
                <c:pt idx="9">
                  <c:v>-0.33635022113401414</c:v>
                </c:pt>
                <c:pt idx="10">
                  <c:v>-0.27842308334235638</c:v>
                </c:pt>
                <c:pt idx="11">
                  <c:v>-0.26983031098451454</c:v>
                </c:pt>
                <c:pt idx="12">
                  <c:v>-0.26983031098451454</c:v>
                </c:pt>
                <c:pt idx="13">
                  <c:v>-0.26975623536074006</c:v>
                </c:pt>
                <c:pt idx="14">
                  <c:v>-0.25671892557642834</c:v>
                </c:pt>
                <c:pt idx="15">
                  <c:v>-0.25668188776454109</c:v>
                </c:pt>
                <c:pt idx="16">
                  <c:v>-0.25657077432887931</c:v>
                </c:pt>
                <c:pt idx="17">
                  <c:v>-0.25653373651699207</c:v>
                </c:pt>
                <c:pt idx="18">
                  <c:v>-0.24320012423758236</c:v>
                </c:pt>
                <c:pt idx="19">
                  <c:v>-0.24316308642569512</c:v>
                </c:pt>
                <c:pt idx="20">
                  <c:v>-0.23453327625596604</c:v>
                </c:pt>
                <c:pt idx="21">
                  <c:v>-0.22949613383930018</c:v>
                </c:pt>
                <c:pt idx="22">
                  <c:v>-0.22179226896675233</c:v>
                </c:pt>
                <c:pt idx="23">
                  <c:v>-0.2212367017884436</c:v>
                </c:pt>
                <c:pt idx="24">
                  <c:v>-0.22116262616466908</c:v>
                </c:pt>
                <c:pt idx="25">
                  <c:v>-0.1950509687841584</c:v>
                </c:pt>
                <c:pt idx="26">
                  <c:v>-0.18960641043673276</c:v>
                </c:pt>
                <c:pt idx="27">
                  <c:v>4.5457994762275189E-3</c:v>
                </c:pt>
                <c:pt idx="28">
                  <c:v>0.11491847890023016</c:v>
                </c:pt>
                <c:pt idx="29">
                  <c:v>0.11491847890023016</c:v>
                </c:pt>
                <c:pt idx="30">
                  <c:v>0.1149555167121174</c:v>
                </c:pt>
                <c:pt idx="31">
                  <c:v>0.1149555167121174</c:v>
                </c:pt>
                <c:pt idx="32">
                  <c:v>0.11499255452400464</c:v>
                </c:pt>
                <c:pt idx="33">
                  <c:v>0.11977043225745981</c:v>
                </c:pt>
                <c:pt idx="34">
                  <c:v>0.12799282649642912</c:v>
                </c:pt>
                <c:pt idx="35">
                  <c:v>0.12802986430831637</c:v>
                </c:pt>
                <c:pt idx="36">
                  <c:v>0.1414745900233878</c:v>
                </c:pt>
                <c:pt idx="37">
                  <c:v>0.14632654338061746</c:v>
                </c:pt>
                <c:pt idx="38">
                  <c:v>0.15447486199581228</c:v>
                </c:pt>
                <c:pt idx="39">
                  <c:v>0.1595120044124782</c:v>
                </c:pt>
                <c:pt idx="40">
                  <c:v>0.22112440448691723</c:v>
                </c:pt>
                <c:pt idx="41">
                  <c:v>0.22114292339286085</c:v>
                </c:pt>
                <c:pt idx="42">
                  <c:v>0.22116144229880447</c:v>
                </c:pt>
                <c:pt idx="43">
                  <c:v>0.22117996120474809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30-4C7A-AE21-C5B83358A2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-8716</c:v>
                </c:pt>
                <c:pt idx="1">
                  <c:v>-7069</c:v>
                </c:pt>
                <c:pt idx="2">
                  <c:v>-3808</c:v>
                </c:pt>
                <c:pt idx="3">
                  <c:v>-3700</c:v>
                </c:pt>
                <c:pt idx="4">
                  <c:v>-3698</c:v>
                </c:pt>
                <c:pt idx="5">
                  <c:v>-3683</c:v>
                </c:pt>
                <c:pt idx="6">
                  <c:v>-3558</c:v>
                </c:pt>
                <c:pt idx="7">
                  <c:v>-3555</c:v>
                </c:pt>
                <c:pt idx="8">
                  <c:v>-2247</c:v>
                </c:pt>
                <c:pt idx="9">
                  <c:v>-1796</c:v>
                </c:pt>
                <c:pt idx="10">
                  <c:v>-232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354</c:v>
                </c:pt>
                <c:pt idx="15">
                  <c:v>355</c:v>
                </c:pt>
                <c:pt idx="16">
                  <c:v>358</c:v>
                </c:pt>
                <c:pt idx="17">
                  <c:v>359</c:v>
                </c:pt>
                <c:pt idx="18">
                  <c:v>719</c:v>
                </c:pt>
                <c:pt idx="19">
                  <c:v>720</c:v>
                </c:pt>
                <c:pt idx="20">
                  <c:v>953</c:v>
                </c:pt>
                <c:pt idx="21">
                  <c:v>1089</c:v>
                </c:pt>
                <c:pt idx="22">
                  <c:v>1297</c:v>
                </c:pt>
                <c:pt idx="23">
                  <c:v>1312</c:v>
                </c:pt>
                <c:pt idx="24">
                  <c:v>1314</c:v>
                </c:pt>
                <c:pt idx="25">
                  <c:v>2019</c:v>
                </c:pt>
                <c:pt idx="26">
                  <c:v>2166</c:v>
                </c:pt>
                <c:pt idx="27">
                  <c:v>7408</c:v>
                </c:pt>
                <c:pt idx="28">
                  <c:v>10388</c:v>
                </c:pt>
                <c:pt idx="29">
                  <c:v>10388</c:v>
                </c:pt>
                <c:pt idx="30">
                  <c:v>10389</c:v>
                </c:pt>
                <c:pt idx="31">
                  <c:v>10389</c:v>
                </c:pt>
                <c:pt idx="32">
                  <c:v>10390</c:v>
                </c:pt>
                <c:pt idx="33">
                  <c:v>10519</c:v>
                </c:pt>
                <c:pt idx="34">
                  <c:v>10741</c:v>
                </c:pt>
                <c:pt idx="35">
                  <c:v>10742</c:v>
                </c:pt>
                <c:pt idx="36">
                  <c:v>11105</c:v>
                </c:pt>
                <c:pt idx="37">
                  <c:v>11236</c:v>
                </c:pt>
                <c:pt idx="38">
                  <c:v>11456</c:v>
                </c:pt>
                <c:pt idx="39">
                  <c:v>11592</c:v>
                </c:pt>
                <c:pt idx="40">
                  <c:v>13255.5</c:v>
                </c:pt>
                <c:pt idx="41">
                  <c:v>13256</c:v>
                </c:pt>
                <c:pt idx="42">
                  <c:v>13256.5</c:v>
                </c:pt>
                <c:pt idx="43">
                  <c:v>13257</c:v>
                </c:pt>
              </c:numCache>
            </c:numRef>
          </c:xVal>
          <c:yVal>
            <c:numRef>
              <c:f>Active!$U$21:$U$988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30-4C7A-AE21-C5B83358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45040"/>
        <c:axId val="1"/>
      </c:scatterChart>
      <c:valAx>
        <c:axId val="79674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4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2073298764483702"/>
          <c:w val="0.775806451612903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Cyg - O-C Diagr.</a:t>
            </a:r>
          </a:p>
        </c:rich>
      </c:tx>
      <c:layout>
        <c:manualLayout>
          <c:xMode val="edge"/>
          <c:yMode val="edge"/>
          <c:x val="0.3747984006038017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6A-4E1F-B282-A6505980875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(2)'!$I$21:$I$993</c:f>
              <c:numCache>
                <c:formatCode>General</c:formatCode>
                <c:ptCount val="973"/>
                <c:pt idx="1">
                  <c:v>0.12303765999968164</c:v>
                </c:pt>
                <c:pt idx="2">
                  <c:v>0.13723303999722702</c:v>
                </c:pt>
                <c:pt idx="3">
                  <c:v>0.14354287999594817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6A-4E1F-B282-A6505980875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6A-4E1F-B282-A6505980875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6A-4E1F-B282-A6505980875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6A-4E1F-B282-A6505980875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6A-4E1F-B282-A6505980875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plus>
            <c:minus>
              <c:numRef>
                <c:f>'A (2)'!$D$21:$D$993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6A-4E1F-B282-A6505980875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10519</c:v>
                </c:pt>
                <c:pt idx="2">
                  <c:v>11236</c:v>
                </c:pt>
                <c:pt idx="3">
                  <c:v>11592</c:v>
                </c:pt>
              </c:numCache>
            </c:numRef>
          </c:xVal>
          <c:yVal>
            <c:numRef>
              <c:f>'A (2)'!$O$21:$O$993</c:f>
              <c:numCache>
                <c:formatCode>General</c:formatCode>
                <c:ptCount val="973"/>
                <c:pt idx="1">
                  <c:v>0.12314282194447843</c:v>
                </c:pt>
                <c:pt idx="2">
                  <c:v>0.13691607716922996</c:v>
                </c:pt>
                <c:pt idx="3">
                  <c:v>0.14375468087914844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6A-4E1F-B282-A65059808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46024"/>
        <c:axId val="1"/>
      </c:scatterChart>
      <c:valAx>
        <c:axId val="796746024"/>
        <c:scaling>
          <c:orientation val="minMax"/>
          <c:min val="103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"/>
          <c:min val="0.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4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709225361369409"/>
          <c:y val="0.9204921861831491"/>
          <c:w val="0.92084074304928365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1</xdr:rowOff>
    </xdr:from>
    <xdr:to>
      <xdr:col>17</xdr:col>
      <xdr:colOff>171450</xdr:colOff>
      <xdr:row>17</xdr:row>
      <xdr:rowOff>152401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BAD634A-6FF5-C5A3-7521-04A979D58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0</xdr:rowOff>
    </xdr:from>
    <xdr:to>
      <xdr:col>27</xdr:col>
      <xdr:colOff>152400</xdr:colOff>
      <xdr:row>17</xdr:row>
      <xdr:rowOff>114300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608CDF5-4ADB-8DF9-4EB7-5435BB4F8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66675</xdr:rowOff>
    </xdr:from>
    <xdr:to>
      <xdr:col>15</xdr:col>
      <xdr:colOff>257175</xdr:colOff>
      <xdr:row>18</xdr:row>
      <xdr:rowOff>104775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655ADEA-AAA3-5112-8DC4-8DCE44996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19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konkoly.hu/cgi-bin/IBVS?5809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5809" TargetMode="External"/><Relationship Id="rId1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5809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konkoly.hu/cgi-bin/IBVS?5809" TargetMode="External"/><Relationship Id="rId1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809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1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26</v>
      </c>
      <c r="C2" s="6" t="s">
        <v>32</v>
      </c>
      <c r="D2" s="6" t="s">
        <v>32</v>
      </c>
    </row>
    <row r="3" spans="1:6" ht="13.5" thickBot="1" x14ac:dyDescent="0.25"/>
    <row r="4" spans="1:6" ht="14.25" thickTop="1" thickBot="1" x14ac:dyDescent="0.25">
      <c r="A4" s="8" t="s">
        <v>0</v>
      </c>
      <c r="C4" s="13">
        <v>32793.392</v>
      </c>
      <c r="D4" s="14">
        <v>2.0083648599999999</v>
      </c>
    </row>
    <row r="5" spans="1:6" x14ac:dyDescent="0.2">
      <c r="A5" s="20" t="s">
        <v>37</v>
      </c>
      <c r="B5" s="21"/>
      <c r="C5" s="22">
        <v>-9.5</v>
      </c>
      <c r="D5" s="21" t="s">
        <v>38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32793.392</v>
      </c>
    </row>
    <row r="8" spans="1:6" x14ac:dyDescent="0.2">
      <c r="A8" t="s">
        <v>3</v>
      </c>
      <c r="C8">
        <f>+D4</f>
        <v>2.0083648599999999</v>
      </c>
    </row>
    <row r="9" spans="1:6" x14ac:dyDescent="0.2">
      <c r="A9" s="34" t="s">
        <v>47</v>
      </c>
      <c r="B9" s="35">
        <v>49</v>
      </c>
      <c r="C9" s="32" t="str">
        <f>"F"&amp;B9</f>
        <v>F49</v>
      </c>
      <c r="D9" s="33" t="str">
        <f>"G"&amp;B9</f>
        <v>G49</v>
      </c>
    </row>
    <row r="10" spans="1:6" ht="13.5" thickBot="1" x14ac:dyDescent="0.25">
      <c r="C10" s="7" t="s">
        <v>21</v>
      </c>
      <c r="D10" s="7" t="s">
        <v>22</v>
      </c>
    </row>
    <row r="11" spans="1:6" x14ac:dyDescent="0.2">
      <c r="A11" t="s">
        <v>16</v>
      </c>
      <c r="C11" s="31">
        <f ca="1">INTERCEPT(INDIRECT($D$9):G973,INDIRECT($C$9):F973)</f>
        <v>-0.26983031098451454</v>
      </c>
      <c r="D11" s="6"/>
    </row>
    <row r="12" spans="1:6" x14ac:dyDescent="0.2">
      <c r="A12" t="s">
        <v>17</v>
      </c>
      <c r="C12" s="31">
        <f ca="1">SLOPE(INDIRECT($D$9):G973,INDIRECT($C$9):F973)</f>
        <v>3.7037811887249201E-5</v>
      </c>
      <c r="D12" s="6"/>
    </row>
    <row r="13" spans="1:6" x14ac:dyDescent="0.2">
      <c r="A13" t="s">
        <v>20</v>
      </c>
      <c r="C13" s="6" t="s">
        <v>14</v>
      </c>
      <c r="D13" s="6"/>
    </row>
    <row r="14" spans="1:6" x14ac:dyDescent="0.2">
      <c r="A14" t="s">
        <v>25</v>
      </c>
    </row>
    <row r="15" spans="1:6" x14ac:dyDescent="0.2">
      <c r="A15" s="3" t="s">
        <v>18</v>
      </c>
      <c r="C15" s="11">
        <f ca="1">($C$7+C$11)+($C$8+C$12)*INT(MAX($F21:$F3528))</f>
        <v>59418.5061289812</v>
      </c>
      <c r="E15" s="24" t="s">
        <v>45</v>
      </c>
      <c r="F15" s="22">
        <v>1</v>
      </c>
    </row>
    <row r="16" spans="1:6" x14ac:dyDescent="0.2">
      <c r="A16" s="8" t="s">
        <v>4</v>
      </c>
      <c r="C16" s="12">
        <f ca="1">+$C$8+C$12</f>
        <v>2.0084018978118872</v>
      </c>
      <c r="E16" s="24" t="s">
        <v>39</v>
      </c>
      <c r="F16" s="25">
        <f ca="1">NOW()+15018.5+$C$5/24</f>
        <v>60339.784054861106</v>
      </c>
    </row>
    <row r="17" spans="1:21" ht="13.5" thickBot="1" x14ac:dyDescent="0.25">
      <c r="A17" s="15" t="s">
        <v>33</v>
      </c>
      <c r="C17">
        <f>COUNT(C21:C2186)</f>
        <v>44</v>
      </c>
      <c r="E17" s="24" t="s">
        <v>46</v>
      </c>
      <c r="F17" s="25">
        <f ca="1">ROUND(2*(F16-$C$7)/$C$8,0)/2+F15</f>
        <v>13717</v>
      </c>
    </row>
    <row r="18" spans="1:21" ht="14.25" thickTop="1" thickBot="1" x14ac:dyDescent="0.25">
      <c r="A18" s="8" t="s">
        <v>5</v>
      </c>
      <c r="C18" s="4">
        <f ca="1">+C15</f>
        <v>59418.5061289812</v>
      </c>
      <c r="D18" s="5">
        <f ca="1">+C16</f>
        <v>2.0084018978118872</v>
      </c>
      <c r="E18" s="24" t="s">
        <v>40</v>
      </c>
      <c r="F18" s="33">
        <f ca="1">ROUND(2*(F16-$C$15)/$C$16,0)/2+F15</f>
        <v>459.5</v>
      </c>
    </row>
    <row r="19" spans="1:21" ht="13.5" thickTop="1" x14ac:dyDescent="0.2">
      <c r="E19" s="24" t="s">
        <v>41</v>
      </c>
      <c r="F19" s="27">
        <f ca="1">+$C$15+$C$16*F18-15018.5-$C$5/24</f>
        <v>45323.262634359096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57</v>
      </c>
      <c r="I20" s="10" t="s">
        <v>60</v>
      </c>
      <c r="J20" s="10" t="s">
        <v>54</v>
      </c>
      <c r="K20" s="10" t="s">
        <v>52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  <c r="U20" s="58" t="s">
        <v>229</v>
      </c>
    </row>
    <row r="21" spans="1:21" x14ac:dyDescent="0.2">
      <c r="A21" s="56" t="s">
        <v>68</v>
      </c>
      <c r="B21" s="57" t="s">
        <v>44</v>
      </c>
      <c r="C21" s="56">
        <v>15288.34</v>
      </c>
      <c r="D21" s="56" t="s">
        <v>60</v>
      </c>
      <c r="E21">
        <f t="shared" ref="E21:E60" si="0">+(C21-C$7)/C$8</f>
        <v>-8716.0716404886716</v>
      </c>
      <c r="F21">
        <f t="shared" ref="F21:F60" si="1">ROUND(2*E21,0)/2</f>
        <v>-8716</v>
      </c>
      <c r="G21">
        <f t="shared" ref="G21:G60" si="2">+C21-(C$7+F21*C$8)</f>
        <v>-0.14388024000072619</v>
      </c>
      <c r="I21">
        <f t="shared" ref="I21:I31" si="3">+G21</f>
        <v>-0.14388024000072619</v>
      </c>
      <c r="O21">
        <f t="shared" ref="O21:O60" ca="1" si="4">+C$11+C$12*$F21</f>
        <v>-0.5926518793937785</v>
      </c>
      <c r="Q21" s="2">
        <f t="shared" ref="Q21:Q60" si="5">+C21-15018.5</f>
        <v>269.84000000000015</v>
      </c>
    </row>
    <row r="22" spans="1:21" x14ac:dyDescent="0.2">
      <c r="A22" s="56" t="s">
        <v>68</v>
      </c>
      <c r="B22" s="57" t="s">
        <v>44</v>
      </c>
      <c r="C22" s="56">
        <v>18596.22</v>
      </c>
      <c r="D22" s="56" t="s">
        <v>60</v>
      </c>
      <c r="E22">
        <f t="shared" si="0"/>
        <v>-7069.0203173540885</v>
      </c>
      <c r="F22">
        <f t="shared" si="1"/>
        <v>-7069</v>
      </c>
      <c r="G22">
        <f t="shared" si="2"/>
        <v>-4.0804659998684656E-2</v>
      </c>
      <c r="I22">
        <f t="shared" si="3"/>
        <v>-4.0804659998684656E-2</v>
      </c>
      <c r="O22">
        <f t="shared" ca="1" si="4"/>
        <v>-0.53165060321547908</v>
      </c>
      <c r="Q22" s="2">
        <f t="shared" si="5"/>
        <v>3577.7200000000012</v>
      </c>
    </row>
    <row r="23" spans="1:21" x14ac:dyDescent="0.2">
      <c r="A23" s="56" t="s">
        <v>76</v>
      </c>
      <c r="B23" s="57" t="s">
        <v>44</v>
      </c>
      <c r="C23" s="56">
        <v>25145.43</v>
      </c>
      <c r="D23" s="56" t="s">
        <v>60</v>
      </c>
      <c r="E23">
        <f t="shared" si="0"/>
        <v>-3808.0540803726271</v>
      </c>
      <c r="F23">
        <f t="shared" si="1"/>
        <v>-3808</v>
      </c>
      <c r="G23">
        <f t="shared" si="2"/>
        <v>-0.1086131199990632</v>
      </c>
      <c r="I23">
        <f t="shared" si="3"/>
        <v>-0.1086131199990632</v>
      </c>
      <c r="O23">
        <f t="shared" ca="1" si="4"/>
        <v>-0.41087029865115954</v>
      </c>
      <c r="Q23" s="2">
        <f t="shared" si="5"/>
        <v>10126.93</v>
      </c>
    </row>
    <row r="24" spans="1:21" x14ac:dyDescent="0.2">
      <c r="A24" s="56" t="s">
        <v>76</v>
      </c>
      <c r="B24" s="57" t="s">
        <v>44</v>
      </c>
      <c r="C24" s="56">
        <v>25362.493999999999</v>
      </c>
      <c r="D24" s="56" t="s">
        <v>60</v>
      </c>
      <c r="E24">
        <f t="shared" si="0"/>
        <v>-3699.9741172527793</v>
      </c>
      <c r="F24">
        <f t="shared" si="1"/>
        <v>-3700</v>
      </c>
      <c r="G24">
        <f t="shared" si="2"/>
        <v>5.1981999997224193E-2</v>
      </c>
      <c r="I24">
        <f t="shared" si="3"/>
        <v>5.1981999997224193E-2</v>
      </c>
      <c r="O24">
        <f t="shared" ca="1" si="4"/>
        <v>-0.40687021496733655</v>
      </c>
      <c r="Q24" s="2">
        <f t="shared" si="5"/>
        <v>10343.993999999999</v>
      </c>
    </row>
    <row r="25" spans="1:21" x14ac:dyDescent="0.2">
      <c r="A25" s="56" t="s">
        <v>76</v>
      </c>
      <c r="B25" s="57" t="s">
        <v>44</v>
      </c>
      <c r="C25" s="56">
        <v>25366.563999999998</v>
      </c>
      <c r="D25" s="56" t="s">
        <v>60</v>
      </c>
      <c r="E25">
        <f t="shared" si="0"/>
        <v>-3697.9475930484073</v>
      </c>
      <c r="F25">
        <f t="shared" si="1"/>
        <v>-3698</v>
      </c>
      <c r="G25">
        <f t="shared" si="2"/>
        <v>0.10525227999823983</v>
      </c>
      <c r="I25">
        <f t="shared" si="3"/>
        <v>0.10525227999823983</v>
      </c>
      <c r="O25">
        <f t="shared" ca="1" si="4"/>
        <v>-0.40679613934356207</v>
      </c>
      <c r="Q25" s="2">
        <f t="shared" si="5"/>
        <v>10348.063999999998</v>
      </c>
    </row>
    <row r="26" spans="1:21" x14ac:dyDescent="0.2">
      <c r="A26" s="56" t="s">
        <v>76</v>
      </c>
      <c r="B26" s="57" t="s">
        <v>44</v>
      </c>
      <c r="C26" s="56">
        <v>25396.472000000002</v>
      </c>
      <c r="D26" s="56" t="s">
        <v>60</v>
      </c>
      <c r="E26">
        <f t="shared" si="0"/>
        <v>-3683.0558766099894</v>
      </c>
      <c r="F26">
        <f t="shared" si="1"/>
        <v>-3683</v>
      </c>
      <c r="G26">
        <f t="shared" si="2"/>
        <v>-0.11222061999797006</v>
      </c>
      <c r="I26">
        <f t="shared" si="3"/>
        <v>-0.11222061999797006</v>
      </c>
      <c r="O26">
        <f t="shared" ca="1" si="4"/>
        <v>-0.40624057216525333</v>
      </c>
      <c r="Q26" s="2">
        <f t="shared" si="5"/>
        <v>10377.972000000002</v>
      </c>
    </row>
    <row r="27" spans="1:21" x14ac:dyDescent="0.2">
      <c r="A27" s="56" t="s">
        <v>76</v>
      </c>
      <c r="B27" s="57" t="s">
        <v>44</v>
      </c>
      <c r="C27" s="56">
        <v>25647.688999999998</v>
      </c>
      <c r="D27" s="56" t="s">
        <v>60</v>
      </c>
      <c r="E27">
        <f t="shared" si="0"/>
        <v>-3557.9705372857406</v>
      </c>
      <c r="F27">
        <f t="shared" si="1"/>
        <v>-3558</v>
      </c>
      <c r="G27">
        <f t="shared" si="2"/>
        <v>5.9171879998757504E-2</v>
      </c>
      <c r="I27">
        <f t="shared" si="3"/>
        <v>5.9171879998757504E-2</v>
      </c>
      <c r="O27">
        <f t="shared" ca="1" si="4"/>
        <v>-0.40161084567934724</v>
      </c>
      <c r="Q27" s="2">
        <f t="shared" si="5"/>
        <v>10629.188999999998</v>
      </c>
    </row>
    <row r="28" spans="1:21" x14ac:dyDescent="0.2">
      <c r="A28" s="56" t="s">
        <v>76</v>
      </c>
      <c r="B28" s="57" t="s">
        <v>44</v>
      </c>
      <c r="C28" s="56">
        <v>25653.679</v>
      </c>
      <c r="D28" s="56" t="s">
        <v>60</v>
      </c>
      <c r="E28">
        <f t="shared" si="0"/>
        <v>-3554.9880114910993</v>
      </c>
      <c r="F28">
        <f t="shared" si="1"/>
        <v>-3555</v>
      </c>
      <c r="G28">
        <f t="shared" si="2"/>
        <v>2.4077300000499235E-2</v>
      </c>
      <c r="I28">
        <f t="shared" si="3"/>
        <v>2.4077300000499235E-2</v>
      </c>
      <c r="O28">
        <f t="shared" ca="1" si="4"/>
        <v>-0.40149973224368546</v>
      </c>
      <c r="Q28" s="2">
        <f t="shared" si="5"/>
        <v>10635.179</v>
      </c>
    </row>
    <row r="29" spans="1:21" x14ac:dyDescent="0.2">
      <c r="A29" s="56" t="s">
        <v>96</v>
      </c>
      <c r="B29" s="57" t="s">
        <v>44</v>
      </c>
      <c r="C29" s="56">
        <v>28280.588</v>
      </c>
      <c r="D29" s="56" t="s">
        <v>60</v>
      </c>
      <c r="E29">
        <f t="shared" si="0"/>
        <v>-2247.0040627976337</v>
      </c>
      <c r="F29">
        <f t="shared" si="1"/>
        <v>-2247</v>
      </c>
      <c r="G29">
        <f t="shared" si="2"/>
        <v>-8.1595800002105534E-3</v>
      </c>
      <c r="I29">
        <f t="shared" si="3"/>
        <v>-8.1595800002105534E-3</v>
      </c>
      <c r="O29">
        <f t="shared" ca="1" si="4"/>
        <v>-0.35305427429516351</v>
      </c>
      <c r="Q29" s="2">
        <f t="shared" si="5"/>
        <v>13262.088</v>
      </c>
    </row>
    <row r="30" spans="1:21" x14ac:dyDescent="0.2">
      <c r="A30" s="56" t="s">
        <v>96</v>
      </c>
      <c r="B30" s="57" t="s">
        <v>44</v>
      </c>
      <c r="C30" s="56">
        <v>29186.370999999999</v>
      </c>
      <c r="D30" s="56" t="s">
        <v>60</v>
      </c>
      <c r="E30">
        <f t="shared" si="0"/>
        <v>-1795.9988604859382</v>
      </c>
      <c r="F30">
        <f t="shared" si="1"/>
        <v>-1796</v>
      </c>
      <c r="G30">
        <f t="shared" si="2"/>
        <v>2.288559997396078E-3</v>
      </c>
      <c r="I30">
        <f t="shared" si="3"/>
        <v>2.288559997396078E-3</v>
      </c>
      <c r="O30">
        <f t="shared" ca="1" si="4"/>
        <v>-0.33635022113401414</v>
      </c>
      <c r="Q30" s="2">
        <f t="shared" si="5"/>
        <v>14167.870999999999</v>
      </c>
    </row>
    <row r="31" spans="1:21" x14ac:dyDescent="0.2">
      <c r="A31" s="56" t="s">
        <v>103</v>
      </c>
      <c r="B31" s="57" t="s">
        <v>44</v>
      </c>
      <c r="C31" s="56">
        <v>32327.45</v>
      </c>
      <c r="D31" s="56" t="s">
        <v>60</v>
      </c>
      <c r="E31">
        <f t="shared" si="0"/>
        <v>-232.00067342345309</v>
      </c>
      <c r="F31">
        <f t="shared" si="1"/>
        <v>-232</v>
      </c>
      <c r="G31">
        <f t="shared" si="2"/>
        <v>-1.3524799978767987E-3</v>
      </c>
      <c r="I31">
        <f t="shared" si="3"/>
        <v>-1.3524799978767987E-3</v>
      </c>
      <c r="O31">
        <f t="shared" ca="1" si="4"/>
        <v>-0.27842308334235638</v>
      </c>
      <c r="Q31" s="2">
        <f t="shared" si="5"/>
        <v>17308.95</v>
      </c>
    </row>
    <row r="32" spans="1:21" x14ac:dyDescent="0.2">
      <c r="A32" t="s">
        <v>12</v>
      </c>
      <c r="C32" s="19">
        <v>32793.392</v>
      </c>
      <c r="D32" s="19" t="s">
        <v>14</v>
      </c>
      <c r="E32">
        <f t="shared" si="0"/>
        <v>0</v>
      </c>
      <c r="F32">
        <f t="shared" si="1"/>
        <v>0</v>
      </c>
      <c r="G32">
        <f t="shared" si="2"/>
        <v>0</v>
      </c>
      <c r="H32">
        <f>+G32</f>
        <v>0</v>
      </c>
      <c r="O32">
        <f t="shared" ca="1" si="4"/>
        <v>-0.26983031098451454</v>
      </c>
      <c r="Q32" s="2">
        <f t="shared" si="5"/>
        <v>17774.892</v>
      </c>
    </row>
    <row r="33" spans="1:17" x14ac:dyDescent="0.2">
      <c r="A33" s="56" t="s">
        <v>103</v>
      </c>
      <c r="B33" s="57" t="s">
        <v>44</v>
      </c>
      <c r="C33" s="56">
        <v>32793.404999999999</v>
      </c>
      <c r="D33" s="56" t="s">
        <v>60</v>
      </c>
      <c r="E33">
        <f t="shared" si="0"/>
        <v>6.4729274336190442E-3</v>
      </c>
      <c r="F33">
        <f t="shared" si="1"/>
        <v>0</v>
      </c>
      <c r="G33">
        <f t="shared" si="2"/>
        <v>1.299999999901047E-2</v>
      </c>
      <c r="I33">
        <f t="shared" ref="I33:I48" si="6">+G33</f>
        <v>1.299999999901047E-2</v>
      </c>
      <c r="O33">
        <f t="shared" ca="1" si="4"/>
        <v>-0.26983031098451454</v>
      </c>
      <c r="Q33" s="2">
        <f t="shared" si="5"/>
        <v>17774.904999999999</v>
      </c>
    </row>
    <row r="34" spans="1:17" x14ac:dyDescent="0.2">
      <c r="A34" s="56" t="s">
        <v>103</v>
      </c>
      <c r="B34" s="57" t="s">
        <v>44</v>
      </c>
      <c r="C34" s="56">
        <v>32797.42</v>
      </c>
      <c r="D34" s="56" t="s">
        <v>60</v>
      </c>
      <c r="E34">
        <f t="shared" si="0"/>
        <v>2.0056116695839963</v>
      </c>
      <c r="F34">
        <f t="shared" si="1"/>
        <v>2</v>
      </c>
      <c r="G34">
        <f t="shared" si="2"/>
        <v>1.1270279996097088E-2</v>
      </c>
      <c r="I34">
        <f t="shared" si="6"/>
        <v>1.1270279996097088E-2</v>
      </c>
      <c r="O34">
        <f t="shared" ca="1" si="4"/>
        <v>-0.26975623536074006</v>
      </c>
      <c r="Q34" s="2">
        <f t="shared" si="5"/>
        <v>17778.919999999998</v>
      </c>
    </row>
    <row r="35" spans="1:17" x14ac:dyDescent="0.2">
      <c r="A35" s="56" t="s">
        <v>103</v>
      </c>
      <c r="B35" s="57" t="s">
        <v>44</v>
      </c>
      <c r="C35" s="56">
        <v>33504.364999999998</v>
      </c>
      <c r="D35" s="56" t="s">
        <v>60</v>
      </c>
      <c r="E35">
        <f t="shared" si="0"/>
        <v>354.00589512405537</v>
      </c>
      <c r="F35">
        <f t="shared" si="1"/>
        <v>354</v>
      </c>
      <c r="G35">
        <f t="shared" si="2"/>
        <v>1.1839560000225902E-2</v>
      </c>
      <c r="I35">
        <f t="shared" si="6"/>
        <v>1.1839560000225902E-2</v>
      </c>
      <c r="O35">
        <f t="shared" ca="1" si="4"/>
        <v>-0.25671892557642834</v>
      </c>
      <c r="Q35" s="2">
        <f t="shared" si="5"/>
        <v>18485.864999999998</v>
      </c>
    </row>
    <row r="36" spans="1:17" x14ac:dyDescent="0.2">
      <c r="A36" s="56" t="s">
        <v>103</v>
      </c>
      <c r="B36" s="57" t="s">
        <v>44</v>
      </c>
      <c r="C36" s="56">
        <v>33506.355000000003</v>
      </c>
      <c r="D36" s="56" t="s">
        <v>60</v>
      </c>
      <c r="E36">
        <f t="shared" si="0"/>
        <v>354.99675093897201</v>
      </c>
      <c r="F36">
        <f t="shared" si="1"/>
        <v>355</v>
      </c>
      <c r="G36">
        <f t="shared" si="2"/>
        <v>-6.5252999993390404E-3</v>
      </c>
      <c r="I36">
        <f t="shared" si="6"/>
        <v>-6.5252999993390404E-3</v>
      </c>
      <c r="O36">
        <f t="shared" ca="1" si="4"/>
        <v>-0.25668188776454109</v>
      </c>
      <c r="Q36" s="2">
        <f t="shared" si="5"/>
        <v>18487.855000000003</v>
      </c>
    </row>
    <row r="37" spans="1:17" x14ac:dyDescent="0.2">
      <c r="A37" s="56" t="s">
        <v>103</v>
      </c>
      <c r="B37" s="57" t="s">
        <v>44</v>
      </c>
      <c r="C37" s="56">
        <v>33512.39</v>
      </c>
      <c r="D37" s="56" t="s">
        <v>60</v>
      </c>
      <c r="E37">
        <f t="shared" si="0"/>
        <v>358.00168302088281</v>
      </c>
      <c r="F37">
        <f t="shared" si="1"/>
        <v>358</v>
      </c>
      <c r="G37">
        <f t="shared" si="2"/>
        <v>3.3801199970184825E-3</v>
      </c>
      <c r="I37">
        <f t="shared" si="6"/>
        <v>3.3801199970184825E-3</v>
      </c>
      <c r="O37">
        <f t="shared" ca="1" si="4"/>
        <v>-0.25657077432887931</v>
      </c>
      <c r="Q37" s="2">
        <f t="shared" si="5"/>
        <v>18493.89</v>
      </c>
    </row>
    <row r="38" spans="1:17" x14ac:dyDescent="0.2">
      <c r="A38" s="56" t="s">
        <v>103</v>
      </c>
      <c r="B38" s="57" t="s">
        <v>44</v>
      </c>
      <c r="C38" s="56">
        <v>33514.375</v>
      </c>
      <c r="D38" s="56" t="s">
        <v>60</v>
      </c>
      <c r="E38">
        <f t="shared" si="0"/>
        <v>358.99004924832246</v>
      </c>
      <c r="F38">
        <f t="shared" si="1"/>
        <v>359</v>
      </c>
      <c r="G38">
        <f t="shared" si="2"/>
        <v>-1.9984739999927115E-2</v>
      </c>
      <c r="I38">
        <f t="shared" si="6"/>
        <v>-1.9984739999927115E-2</v>
      </c>
      <c r="O38">
        <f t="shared" ca="1" si="4"/>
        <v>-0.25653373651699207</v>
      </c>
      <c r="Q38" s="2">
        <f t="shared" si="5"/>
        <v>18495.875</v>
      </c>
    </row>
    <row r="39" spans="1:17" x14ac:dyDescent="0.2">
      <c r="A39" s="56" t="s">
        <v>103</v>
      </c>
      <c r="B39" s="57" t="s">
        <v>44</v>
      </c>
      <c r="C39" s="56">
        <v>34237.425000000003</v>
      </c>
      <c r="D39" s="56" t="s">
        <v>60</v>
      </c>
      <c r="E39">
        <f t="shared" si="0"/>
        <v>719.00929395867001</v>
      </c>
      <c r="F39">
        <f t="shared" si="1"/>
        <v>719</v>
      </c>
      <c r="G39">
        <f t="shared" si="2"/>
        <v>1.8665660005353857E-2</v>
      </c>
      <c r="I39">
        <f t="shared" si="6"/>
        <v>1.8665660005353857E-2</v>
      </c>
      <c r="O39">
        <f t="shared" ca="1" si="4"/>
        <v>-0.24320012423758236</v>
      </c>
      <c r="Q39" s="2">
        <f t="shared" si="5"/>
        <v>19218.925000000003</v>
      </c>
    </row>
    <row r="40" spans="1:17" x14ac:dyDescent="0.2">
      <c r="A40" s="56" t="s">
        <v>103</v>
      </c>
      <c r="B40" s="57" t="s">
        <v>44</v>
      </c>
      <c r="C40" s="56">
        <v>34239.39</v>
      </c>
      <c r="D40" s="56" t="s">
        <v>60</v>
      </c>
      <c r="E40">
        <f t="shared" si="0"/>
        <v>719.987701836209</v>
      </c>
      <c r="F40">
        <f t="shared" si="1"/>
        <v>720</v>
      </c>
      <c r="G40">
        <f t="shared" si="2"/>
        <v>-2.4699200002942234E-2</v>
      </c>
      <c r="I40">
        <f t="shared" si="6"/>
        <v>-2.4699200002942234E-2</v>
      </c>
      <c r="O40">
        <f t="shared" ca="1" si="4"/>
        <v>-0.24316308642569512</v>
      </c>
      <c r="Q40" s="2">
        <f t="shared" si="5"/>
        <v>19220.89</v>
      </c>
    </row>
    <row r="41" spans="1:17" x14ac:dyDescent="0.2">
      <c r="A41" s="56" t="s">
        <v>103</v>
      </c>
      <c r="B41" s="57" t="s">
        <v>44</v>
      </c>
      <c r="C41" s="56">
        <v>34707.364999999998</v>
      </c>
      <c r="D41" s="56" t="s">
        <v>60</v>
      </c>
      <c r="E41">
        <f t="shared" si="0"/>
        <v>953.00064152685798</v>
      </c>
      <c r="F41">
        <f t="shared" si="1"/>
        <v>953</v>
      </c>
      <c r="G41">
        <f t="shared" si="2"/>
        <v>1.2884199968539178E-3</v>
      </c>
      <c r="I41">
        <f t="shared" si="6"/>
        <v>1.2884199968539178E-3</v>
      </c>
      <c r="O41">
        <f t="shared" ca="1" si="4"/>
        <v>-0.23453327625596604</v>
      </c>
      <c r="Q41" s="2">
        <f t="shared" si="5"/>
        <v>19688.864999999998</v>
      </c>
    </row>
    <row r="42" spans="1:17" x14ac:dyDescent="0.2">
      <c r="A42" s="56" t="s">
        <v>103</v>
      </c>
      <c r="B42" s="57" t="s">
        <v>44</v>
      </c>
      <c r="C42" s="56">
        <v>34980.498</v>
      </c>
      <c r="D42" s="56" t="s">
        <v>60</v>
      </c>
      <c r="E42">
        <f t="shared" si="0"/>
        <v>1088.9983406700314</v>
      </c>
      <c r="F42">
        <f t="shared" si="1"/>
        <v>1089</v>
      </c>
      <c r="G42">
        <f t="shared" si="2"/>
        <v>-3.3325399999739602E-3</v>
      </c>
      <c r="I42">
        <f t="shared" si="6"/>
        <v>-3.3325399999739602E-3</v>
      </c>
      <c r="O42">
        <f t="shared" ca="1" si="4"/>
        <v>-0.22949613383930018</v>
      </c>
      <c r="Q42" s="2">
        <f t="shared" si="5"/>
        <v>19961.998</v>
      </c>
    </row>
    <row r="43" spans="1:17" x14ac:dyDescent="0.2">
      <c r="A43" s="56" t="s">
        <v>103</v>
      </c>
      <c r="B43" s="57" t="s">
        <v>44</v>
      </c>
      <c r="C43" s="56">
        <v>35398.245000000003</v>
      </c>
      <c r="D43" s="56" t="s">
        <v>60</v>
      </c>
      <c r="E43">
        <f t="shared" si="0"/>
        <v>1297.0018804252545</v>
      </c>
      <c r="F43">
        <f t="shared" si="1"/>
        <v>1297</v>
      </c>
      <c r="G43">
        <f t="shared" si="2"/>
        <v>3.7765800007036887E-3</v>
      </c>
      <c r="I43">
        <f t="shared" si="6"/>
        <v>3.7765800007036887E-3</v>
      </c>
      <c r="O43">
        <f t="shared" ca="1" si="4"/>
        <v>-0.22179226896675233</v>
      </c>
      <c r="Q43" s="2">
        <f t="shared" si="5"/>
        <v>20379.745000000003</v>
      </c>
    </row>
    <row r="44" spans="1:17" x14ac:dyDescent="0.2">
      <c r="A44" s="56" t="s">
        <v>103</v>
      </c>
      <c r="B44" s="57" t="s">
        <v>44</v>
      </c>
      <c r="C44" s="56">
        <v>35428.385000000002</v>
      </c>
      <c r="D44" s="56" t="s">
        <v>60</v>
      </c>
      <c r="E44">
        <f t="shared" si="0"/>
        <v>1312.0091137224947</v>
      </c>
      <c r="F44">
        <f t="shared" si="1"/>
        <v>1312</v>
      </c>
      <c r="G44">
        <f t="shared" si="2"/>
        <v>1.8303680000826716E-2</v>
      </c>
      <c r="I44">
        <f t="shared" si="6"/>
        <v>1.8303680000826716E-2</v>
      </c>
      <c r="O44">
        <f t="shared" ca="1" si="4"/>
        <v>-0.2212367017884436</v>
      </c>
      <c r="Q44" s="2">
        <f t="shared" si="5"/>
        <v>20409.885000000002</v>
      </c>
    </row>
    <row r="45" spans="1:17" x14ac:dyDescent="0.2">
      <c r="A45" s="56" t="s">
        <v>103</v>
      </c>
      <c r="B45" s="57" t="s">
        <v>44</v>
      </c>
      <c r="C45" s="56">
        <v>35432.372000000003</v>
      </c>
      <c r="D45" s="56" t="s">
        <v>60</v>
      </c>
      <c r="E45">
        <f t="shared" si="0"/>
        <v>1313.9943107747879</v>
      </c>
      <c r="F45">
        <f t="shared" si="1"/>
        <v>1314</v>
      </c>
      <c r="G45">
        <f t="shared" si="2"/>
        <v>-1.1426040000515059E-2</v>
      </c>
      <c r="I45">
        <f t="shared" si="6"/>
        <v>-1.1426040000515059E-2</v>
      </c>
      <c r="O45">
        <f t="shared" ca="1" si="4"/>
        <v>-0.22116262616466908</v>
      </c>
      <c r="Q45" s="2">
        <f t="shared" si="5"/>
        <v>20413.872000000003</v>
      </c>
    </row>
    <row r="46" spans="1:17" x14ac:dyDescent="0.2">
      <c r="A46" s="56" t="s">
        <v>103</v>
      </c>
      <c r="B46" s="57" t="s">
        <v>44</v>
      </c>
      <c r="C46" s="56">
        <v>36848.28</v>
      </c>
      <c r="D46" s="56" t="s">
        <v>60</v>
      </c>
      <c r="E46">
        <f t="shared" si="0"/>
        <v>2018.999675188501</v>
      </c>
      <c r="F46">
        <f t="shared" si="1"/>
        <v>2019</v>
      </c>
      <c r="G46">
        <f t="shared" si="2"/>
        <v>-6.5234000066993758E-4</v>
      </c>
      <c r="I46">
        <f t="shared" si="6"/>
        <v>-6.5234000066993758E-4</v>
      </c>
      <c r="O46">
        <f t="shared" ca="1" si="4"/>
        <v>-0.1950509687841584</v>
      </c>
      <c r="Q46" s="2">
        <f t="shared" si="5"/>
        <v>21829.78</v>
      </c>
    </row>
    <row r="47" spans="1:17" x14ac:dyDescent="0.2">
      <c r="A47" s="56" t="s">
        <v>103</v>
      </c>
      <c r="B47" s="57" t="s">
        <v>44</v>
      </c>
      <c r="C47" s="56">
        <v>37143.504999999997</v>
      </c>
      <c r="D47" s="56" t="s">
        <v>60</v>
      </c>
      <c r="E47">
        <f t="shared" si="0"/>
        <v>2165.9973676297031</v>
      </c>
      <c r="F47">
        <f t="shared" si="1"/>
        <v>2166</v>
      </c>
      <c r="G47">
        <f t="shared" si="2"/>
        <v>-5.2867600024910644E-3</v>
      </c>
      <c r="I47">
        <f t="shared" si="6"/>
        <v>-5.2867600024910644E-3</v>
      </c>
      <c r="O47">
        <f t="shared" ca="1" si="4"/>
        <v>-0.18960641043673276</v>
      </c>
      <c r="Q47" s="2">
        <f t="shared" si="5"/>
        <v>22125.004999999997</v>
      </c>
    </row>
    <row r="48" spans="1:17" x14ac:dyDescent="0.2">
      <c r="A48" s="56" t="s">
        <v>151</v>
      </c>
      <c r="B48" s="57" t="s">
        <v>44</v>
      </c>
      <c r="C48" s="56">
        <v>47671.415000000001</v>
      </c>
      <c r="D48" s="56" t="s">
        <v>60</v>
      </c>
      <c r="E48">
        <f t="shared" si="0"/>
        <v>7408.0279416958138</v>
      </c>
      <c r="F48">
        <f t="shared" si="1"/>
        <v>7408</v>
      </c>
      <c r="G48">
        <f t="shared" si="2"/>
        <v>5.6117120002454612E-2</v>
      </c>
      <c r="I48">
        <f t="shared" si="6"/>
        <v>5.6117120002454612E-2</v>
      </c>
      <c r="O48">
        <f t="shared" ca="1" si="4"/>
        <v>4.5457994762275189E-3</v>
      </c>
      <c r="Q48" s="2">
        <f t="shared" si="5"/>
        <v>32652.915000000001</v>
      </c>
    </row>
    <row r="49" spans="1:17" x14ac:dyDescent="0.2">
      <c r="A49" s="16" t="s">
        <v>35</v>
      </c>
      <c r="B49" s="17"/>
      <c r="C49" s="18">
        <v>53656.409599999999</v>
      </c>
      <c r="D49" s="18">
        <v>5.0000000000000001E-4</v>
      </c>
      <c r="E49">
        <f t="shared" si="0"/>
        <v>10388.061460107403</v>
      </c>
      <c r="F49">
        <f t="shared" si="1"/>
        <v>10388</v>
      </c>
      <c r="G49">
        <f t="shared" si="2"/>
        <v>0.12343432000488974</v>
      </c>
      <c r="J49">
        <f>+G49</f>
        <v>0.12343432000488974</v>
      </c>
      <c r="O49">
        <f t="shared" ca="1" si="4"/>
        <v>0.11491847890023016</v>
      </c>
      <c r="Q49" s="2">
        <f t="shared" si="5"/>
        <v>38637.909599999999</v>
      </c>
    </row>
    <row r="50" spans="1:17" x14ac:dyDescent="0.2">
      <c r="A50" s="16" t="s">
        <v>35</v>
      </c>
      <c r="B50" s="17"/>
      <c r="C50" s="18">
        <v>53656.410300000003</v>
      </c>
      <c r="D50" s="18">
        <v>1.5E-3</v>
      </c>
      <c r="E50">
        <f t="shared" si="0"/>
        <v>10388.061808649652</v>
      </c>
      <c r="F50">
        <f t="shared" si="1"/>
        <v>10388</v>
      </c>
      <c r="G50">
        <f t="shared" si="2"/>
        <v>0.12413432000903413</v>
      </c>
      <c r="J50">
        <f>+G50</f>
        <v>0.12413432000903413</v>
      </c>
      <c r="O50">
        <f t="shared" ca="1" si="4"/>
        <v>0.11491847890023016</v>
      </c>
      <c r="Q50" s="2">
        <f t="shared" si="5"/>
        <v>38637.910300000003</v>
      </c>
    </row>
    <row r="51" spans="1:17" x14ac:dyDescent="0.2">
      <c r="A51" s="16" t="s">
        <v>35</v>
      </c>
      <c r="B51" s="17"/>
      <c r="C51" s="18">
        <v>53658.405700000003</v>
      </c>
      <c r="D51" s="18">
        <v>3.5999999999999999E-3</v>
      </c>
      <c r="E51">
        <f t="shared" si="0"/>
        <v>10389.055353219039</v>
      </c>
      <c r="F51">
        <f t="shared" si="1"/>
        <v>10389</v>
      </c>
      <c r="G51">
        <f t="shared" si="2"/>
        <v>0.11116946000402095</v>
      </c>
      <c r="J51">
        <f>+G51</f>
        <v>0.11116946000402095</v>
      </c>
      <c r="O51">
        <f t="shared" ca="1" si="4"/>
        <v>0.1149555167121174</v>
      </c>
      <c r="Q51" s="2">
        <f t="shared" si="5"/>
        <v>38639.905700000003</v>
      </c>
    </row>
    <row r="52" spans="1:17" x14ac:dyDescent="0.2">
      <c r="A52" s="16" t="s">
        <v>35</v>
      </c>
      <c r="B52" s="17"/>
      <c r="C52" s="18">
        <v>53658.414299999997</v>
      </c>
      <c r="D52" s="18">
        <v>6.9999999999999999E-4</v>
      </c>
      <c r="E52">
        <f t="shared" si="0"/>
        <v>10389.059635309492</v>
      </c>
      <c r="F52">
        <f t="shared" si="1"/>
        <v>10389</v>
      </c>
      <c r="G52">
        <f t="shared" si="2"/>
        <v>0.11976945999776945</v>
      </c>
      <c r="J52">
        <f>+G52</f>
        <v>0.11976945999776945</v>
      </c>
      <c r="O52">
        <f t="shared" ca="1" si="4"/>
        <v>0.1149555167121174</v>
      </c>
      <c r="Q52" s="2">
        <f t="shared" si="5"/>
        <v>38639.914299999997</v>
      </c>
    </row>
    <row r="53" spans="1:17" x14ac:dyDescent="0.2">
      <c r="A53" s="16" t="s">
        <v>35</v>
      </c>
      <c r="B53" s="17"/>
      <c r="C53" s="18">
        <v>53660.421799999996</v>
      </c>
      <c r="D53" s="18">
        <v>8.0000000000000004E-4</v>
      </c>
      <c r="E53">
        <f t="shared" si="0"/>
        <v>10390.059204680567</v>
      </c>
      <c r="F53">
        <f t="shared" si="1"/>
        <v>10390</v>
      </c>
      <c r="G53">
        <f t="shared" si="2"/>
        <v>0.11890459999267478</v>
      </c>
      <c r="J53">
        <f>+G53</f>
        <v>0.11890459999267478</v>
      </c>
      <c r="O53">
        <f t="shared" ca="1" si="4"/>
        <v>0.11499255452400464</v>
      </c>
      <c r="Q53" s="2">
        <f t="shared" si="5"/>
        <v>38641.921799999996</v>
      </c>
    </row>
    <row r="54" spans="1:17" x14ac:dyDescent="0.2">
      <c r="A54" s="56" t="s">
        <v>232</v>
      </c>
      <c r="B54" s="57" t="s">
        <v>44</v>
      </c>
      <c r="C54" s="56">
        <v>53919.504999999997</v>
      </c>
      <c r="D54" s="56" t="s">
        <v>60</v>
      </c>
      <c r="E54">
        <f t="shared" si="0"/>
        <v>10519.061262603449</v>
      </c>
      <c r="F54">
        <f t="shared" si="1"/>
        <v>10519</v>
      </c>
      <c r="G54">
        <f t="shared" si="2"/>
        <v>0.12303765999968164</v>
      </c>
      <c r="I54">
        <f>+G54</f>
        <v>0.12303765999968164</v>
      </c>
      <c r="O54">
        <f t="shared" ca="1" si="4"/>
        <v>0.11977043225745981</v>
      </c>
      <c r="Q54" s="2">
        <f t="shared" si="5"/>
        <v>38901.004999999997</v>
      </c>
    </row>
    <row r="55" spans="1:17" x14ac:dyDescent="0.2">
      <c r="A55" s="56" t="s">
        <v>204</v>
      </c>
      <c r="B55" s="57" t="s">
        <v>44</v>
      </c>
      <c r="C55" s="56">
        <v>54365.363599999997</v>
      </c>
      <c r="D55" s="56" t="s">
        <v>60</v>
      </c>
      <c r="E55">
        <f t="shared" si="0"/>
        <v>10741.062059809192</v>
      </c>
      <c r="F55">
        <f t="shared" si="1"/>
        <v>10741</v>
      </c>
      <c r="G55">
        <f t="shared" si="2"/>
        <v>0.12463874000241049</v>
      </c>
      <c r="I55">
        <f>+G55</f>
        <v>0.12463874000241049</v>
      </c>
      <c r="O55">
        <f t="shared" ca="1" si="4"/>
        <v>0.12799282649642912</v>
      </c>
      <c r="Q55" s="2">
        <f t="shared" si="5"/>
        <v>39346.863599999997</v>
      </c>
    </row>
    <row r="56" spans="1:17" x14ac:dyDescent="0.2">
      <c r="A56" s="56" t="s">
        <v>204</v>
      </c>
      <c r="B56" s="57" t="s">
        <v>44</v>
      </c>
      <c r="C56" s="56">
        <v>54367.379099999998</v>
      </c>
      <c r="D56" s="56" t="s">
        <v>60</v>
      </c>
      <c r="E56">
        <f t="shared" si="0"/>
        <v>10742.065612520226</v>
      </c>
      <c r="F56">
        <f t="shared" si="1"/>
        <v>10742</v>
      </c>
      <c r="G56">
        <f t="shared" si="2"/>
        <v>0.13177387999894563</v>
      </c>
      <c r="I56">
        <f>+G56</f>
        <v>0.13177387999894563</v>
      </c>
      <c r="O56">
        <f t="shared" ca="1" si="4"/>
        <v>0.12802986430831637</v>
      </c>
      <c r="Q56" s="2">
        <f t="shared" si="5"/>
        <v>39348.879099999998</v>
      </c>
    </row>
    <row r="57" spans="1:17" x14ac:dyDescent="0.2">
      <c r="A57" s="56" t="s">
        <v>213</v>
      </c>
      <c r="B57" s="57" t="s">
        <v>44</v>
      </c>
      <c r="C57" s="56">
        <v>55096.4211</v>
      </c>
      <c r="D57" s="56" t="s">
        <v>60</v>
      </c>
      <c r="E57">
        <f t="shared" si="0"/>
        <v>11105.068378860204</v>
      </c>
      <c r="F57">
        <f t="shared" si="1"/>
        <v>11105</v>
      </c>
      <c r="G57">
        <f t="shared" si="2"/>
        <v>0.13732970000273781</v>
      </c>
      <c r="I57">
        <f>+G57</f>
        <v>0.13732970000273781</v>
      </c>
      <c r="O57">
        <f t="shared" ca="1" si="4"/>
        <v>0.1414745900233878</v>
      </c>
      <c r="Q57" s="2">
        <f t="shared" si="5"/>
        <v>40077.9211</v>
      </c>
    </row>
    <row r="58" spans="1:17" x14ac:dyDescent="0.2">
      <c r="A58" s="56" t="s">
        <v>218</v>
      </c>
      <c r="B58" s="57" t="s">
        <v>44</v>
      </c>
      <c r="C58" s="56">
        <v>55359.516799999998</v>
      </c>
      <c r="D58" s="56" t="s">
        <v>60</v>
      </c>
      <c r="E58">
        <f t="shared" si="0"/>
        <v>11236.068330731498</v>
      </c>
      <c r="F58">
        <f t="shared" si="1"/>
        <v>11236</v>
      </c>
      <c r="G58">
        <f t="shared" si="2"/>
        <v>0.13723303999722702</v>
      </c>
      <c r="I58">
        <f>+G58</f>
        <v>0.13723303999722702</v>
      </c>
      <c r="O58">
        <f t="shared" ca="1" si="4"/>
        <v>0.14632654338061746</v>
      </c>
      <c r="Q58" s="2">
        <f t="shared" si="5"/>
        <v>40341.016799999998</v>
      </c>
    </row>
    <row r="59" spans="1:17" x14ac:dyDescent="0.2">
      <c r="A59" s="56" t="s">
        <v>223</v>
      </c>
      <c r="B59" s="57" t="s">
        <v>44</v>
      </c>
      <c r="C59" s="56">
        <v>55801.3626</v>
      </c>
      <c r="D59" s="56" t="s">
        <v>60</v>
      </c>
      <c r="E59">
        <f t="shared" si="0"/>
        <v>11456.071084613581</v>
      </c>
      <c r="F59">
        <f t="shared" si="1"/>
        <v>11456</v>
      </c>
      <c r="G59">
        <f t="shared" si="2"/>
        <v>0.14276383999822428</v>
      </c>
      <c r="I59">
        <f>+G59</f>
        <v>0.14276383999822428</v>
      </c>
      <c r="O59">
        <f t="shared" ca="1" si="4"/>
        <v>0.15447486199581228</v>
      </c>
      <c r="Q59" s="2">
        <f t="shared" si="5"/>
        <v>40782.8626</v>
      </c>
    </row>
    <row r="60" spans="1:17" x14ac:dyDescent="0.2">
      <c r="A60" s="56" t="s">
        <v>228</v>
      </c>
      <c r="B60" s="57" t="s">
        <v>44</v>
      </c>
      <c r="C60" s="56">
        <v>56074.500999999997</v>
      </c>
      <c r="D60" s="56" t="s">
        <v>60</v>
      </c>
      <c r="E60">
        <f t="shared" si="0"/>
        <v>11592.071472511223</v>
      </c>
      <c r="F60">
        <f t="shared" si="1"/>
        <v>11592</v>
      </c>
      <c r="G60">
        <f t="shared" si="2"/>
        <v>0.14354287999594817</v>
      </c>
      <c r="I60">
        <f>+G60</f>
        <v>0.14354287999594817</v>
      </c>
      <c r="O60">
        <f t="shared" ca="1" si="4"/>
        <v>0.1595120044124782</v>
      </c>
      <c r="Q60" s="2">
        <f t="shared" si="5"/>
        <v>41056.000999999997</v>
      </c>
    </row>
    <row r="61" spans="1:17" x14ac:dyDescent="0.2">
      <c r="A61" s="59" t="s">
        <v>230</v>
      </c>
      <c r="B61" s="60" t="s">
        <v>231</v>
      </c>
      <c r="C61" s="61">
        <v>59415.5075</v>
      </c>
      <c r="D61" s="62">
        <v>4.0000000000000002E-4</v>
      </c>
      <c r="E61">
        <f t="shared" ref="E61:E64" si="7">+(C61-C$7)/C$8</f>
        <v>13255.617059541662</v>
      </c>
      <c r="F61">
        <f t="shared" ref="F61:F64" si="8">ROUND(2*E61,0)/2</f>
        <v>13255.5</v>
      </c>
      <c r="G61">
        <f t="shared" ref="G61:G64" si="9">+C61-(C$7+F61*C$8)</f>
        <v>0.2350982700008899</v>
      </c>
      <c r="K61">
        <f>+G61</f>
        <v>0.2350982700008899</v>
      </c>
      <c r="O61">
        <f t="shared" ref="O61:O64" ca="1" si="10">+C$11+C$12*$F61</f>
        <v>0.22112440448691723</v>
      </c>
      <c r="Q61" s="2">
        <f t="shared" ref="Q61:Q64" si="11">+C61-15018.5</f>
        <v>44397.0075</v>
      </c>
    </row>
    <row r="62" spans="1:17" x14ac:dyDescent="0.2">
      <c r="A62" s="59" t="s">
        <v>230</v>
      </c>
      <c r="B62" s="60" t="s">
        <v>44</v>
      </c>
      <c r="C62" s="61">
        <v>59416.483899999999</v>
      </c>
      <c r="D62" s="62">
        <v>1E-4</v>
      </c>
      <c r="E62">
        <f t="shared" si="7"/>
        <v>13256.103226183714</v>
      </c>
      <c r="F62">
        <f t="shared" si="8"/>
        <v>13256</v>
      </c>
      <c r="G62">
        <f t="shared" si="9"/>
        <v>0.20731584000168368</v>
      </c>
      <c r="K62">
        <f>+G62</f>
        <v>0.20731584000168368</v>
      </c>
      <c r="O62">
        <f t="shared" ca="1" si="10"/>
        <v>0.22114292339286085</v>
      </c>
      <c r="Q62" s="2">
        <f t="shared" si="11"/>
        <v>44397.983899999999</v>
      </c>
    </row>
    <row r="63" spans="1:17" x14ac:dyDescent="0.2">
      <c r="A63" s="59" t="s">
        <v>230</v>
      </c>
      <c r="B63" s="60" t="s">
        <v>231</v>
      </c>
      <c r="C63" s="61">
        <v>59417.525500000003</v>
      </c>
      <c r="D63" s="62">
        <v>1E-4</v>
      </c>
      <c r="E63">
        <f t="shared" si="7"/>
        <v>13256.621857046435</v>
      </c>
      <c r="F63">
        <f t="shared" si="8"/>
        <v>13256.5</v>
      </c>
      <c r="G63">
        <f t="shared" si="9"/>
        <v>0.24473340999975335</v>
      </c>
      <c r="K63">
        <f>+G63</f>
        <v>0.24473340999975335</v>
      </c>
      <c r="O63">
        <f t="shared" ca="1" si="10"/>
        <v>0.22116144229880447</v>
      </c>
      <c r="Q63" s="2">
        <f t="shared" si="11"/>
        <v>44399.025500000003</v>
      </c>
    </row>
    <row r="64" spans="1:17" x14ac:dyDescent="0.2">
      <c r="A64" s="59" t="s">
        <v>230</v>
      </c>
      <c r="B64" s="60" t="s">
        <v>44</v>
      </c>
      <c r="C64" s="61">
        <v>59418.497000000003</v>
      </c>
      <c r="D64" s="62">
        <v>1E-4</v>
      </c>
      <c r="E64">
        <f t="shared" si="7"/>
        <v>13257.105583892762</v>
      </c>
      <c r="F64">
        <f t="shared" si="8"/>
        <v>13257</v>
      </c>
      <c r="G64">
        <f t="shared" si="9"/>
        <v>0.21205098000064027</v>
      </c>
      <c r="K64">
        <f>+G64</f>
        <v>0.21205098000064027</v>
      </c>
      <c r="O64">
        <f t="shared" ca="1" si="10"/>
        <v>0.22117996120474809</v>
      </c>
      <c r="Q64" s="2">
        <f t="shared" si="11"/>
        <v>44399.997000000003</v>
      </c>
    </row>
    <row r="65" spans="2:4" x14ac:dyDescent="0.2">
      <c r="B65" s="6"/>
      <c r="C65" s="19"/>
      <c r="D65" s="19"/>
    </row>
    <row r="66" spans="2:4" x14ac:dyDescent="0.2">
      <c r="B66" s="6"/>
      <c r="C66" s="19"/>
      <c r="D66" s="19"/>
    </row>
    <row r="67" spans="2:4" x14ac:dyDescent="0.2">
      <c r="B67" s="6"/>
      <c r="C67" s="19"/>
      <c r="D67" s="19"/>
    </row>
    <row r="68" spans="2:4" x14ac:dyDescent="0.2">
      <c r="B68" s="6"/>
      <c r="C68" s="19"/>
      <c r="D68" s="19"/>
    </row>
    <row r="69" spans="2:4" x14ac:dyDescent="0.2">
      <c r="B69" s="6"/>
      <c r="C69" s="19"/>
      <c r="D69" s="19"/>
    </row>
    <row r="70" spans="2:4" x14ac:dyDescent="0.2">
      <c r="B70" s="6"/>
      <c r="C70" s="19"/>
      <c r="D70" s="19"/>
    </row>
    <row r="71" spans="2:4" x14ac:dyDescent="0.2">
      <c r="B71" s="6"/>
      <c r="C71" s="19"/>
      <c r="D71" s="19"/>
    </row>
    <row r="72" spans="2:4" x14ac:dyDescent="0.2">
      <c r="B72" s="6"/>
      <c r="C72" s="19"/>
      <c r="D72" s="19"/>
    </row>
    <row r="73" spans="2:4" x14ac:dyDescent="0.2">
      <c r="B73" s="6"/>
      <c r="C73" s="19"/>
      <c r="D73" s="19"/>
    </row>
    <row r="74" spans="2:4" x14ac:dyDescent="0.2">
      <c r="B74" s="6"/>
      <c r="C74" s="19"/>
      <c r="D74" s="19"/>
    </row>
    <row r="75" spans="2:4" x14ac:dyDescent="0.2">
      <c r="B75" s="6"/>
      <c r="C75" s="19"/>
      <c r="D75" s="19"/>
    </row>
    <row r="76" spans="2:4" x14ac:dyDescent="0.2">
      <c r="B76" s="6"/>
      <c r="C76" s="19"/>
      <c r="D76" s="19"/>
    </row>
    <row r="77" spans="2:4" x14ac:dyDescent="0.2">
      <c r="B77" s="6"/>
      <c r="C77" s="19"/>
      <c r="D77" s="19"/>
    </row>
    <row r="78" spans="2:4" x14ac:dyDescent="0.2">
      <c r="B78" s="6"/>
      <c r="C78" s="19"/>
      <c r="D78" s="19"/>
    </row>
    <row r="79" spans="2:4" x14ac:dyDescent="0.2">
      <c r="B79" s="6"/>
      <c r="C79" s="19"/>
      <c r="D79" s="19"/>
    </row>
    <row r="80" spans="2:4" x14ac:dyDescent="0.2">
      <c r="B80" s="6"/>
      <c r="C80" s="19"/>
      <c r="D80" s="19"/>
    </row>
    <row r="81" spans="2:4" x14ac:dyDescent="0.2">
      <c r="B81" s="6"/>
      <c r="C81" s="19"/>
      <c r="D81" s="19"/>
    </row>
    <row r="82" spans="2:4" x14ac:dyDescent="0.2">
      <c r="B82" s="6"/>
      <c r="C82" s="19"/>
      <c r="D82" s="19"/>
    </row>
    <row r="83" spans="2:4" x14ac:dyDescent="0.2">
      <c r="B83" s="6"/>
      <c r="C83" s="19"/>
      <c r="D83" s="19"/>
    </row>
    <row r="84" spans="2:4" x14ac:dyDescent="0.2">
      <c r="B84" s="6"/>
      <c r="C84" s="19"/>
      <c r="D84" s="19"/>
    </row>
    <row r="85" spans="2:4" x14ac:dyDescent="0.2">
      <c r="B85" s="6"/>
      <c r="C85" s="19"/>
      <c r="D85" s="19"/>
    </row>
    <row r="86" spans="2:4" x14ac:dyDescent="0.2">
      <c r="B86" s="6"/>
      <c r="C86" s="19"/>
      <c r="D86" s="19"/>
    </row>
    <row r="87" spans="2:4" x14ac:dyDescent="0.2">
      <c r="B87" s="6"/>
      <c r="C87" s="19"/>
      <c r="D87" s="19"/>
    </row>
    <row r="88" spans="2:4" x14ac:dyDescent="0.2">
      <c r="B88" s="6"/>
      <c r="C88" s="19"/>
      <c r="D88" s="19"/>
    </row>
    <row r="89" spans="2:4" x14ac:dyDescent="0.2">
      <c r="B89" s="6"/>
      <c r="C89" s="19"/>
      <c r="D89" s="19"/>
    </row>
    <row r="90" spans="2:4" x14ac:dyDescent="0.2">
      <c r="B90" s="6"/>
      <c r="C90" s="19"/>
      <c r="D90" s="19"/>
    </row>
    <row r="91" spans="2:4" x14ac:dyDescent="0.2">
      <c r="B91" s="6"/>
      <c r="C91" s="19"/>
      <c r="D91" s="19"/>
    </row>
    <row r="92" spans="2:4" x14ac:dyDescent="0.2">
      <c r="B92" s="6"/>
    </row>
    <row r="93" spans="2:4" x14ac:dyDescent="0.2">
      <c r="B93" s="6"/>
    </row>
    <row r="94" spans="2:4" x14ac:dyDescent="0.2">
      <c r="B94" s="6"/>
    </row>
    <row r="95" spans="2:4" x14ac:dyDescent="0.2">
      <c r="B95" s="6"/>
    </row>
    <row r="96" spans="2:4" x14ac:dyDescent="0.2">
      <c r="B96" s="6"/>
    </row>
    <row r="97" spans="2:2" x14ac:dyDescent="0.2">
      <c r="B97" s="6"/>
    </row>
    <row r="98" spans="2:2" x14ac:dyDescent="0.2">
      <c r="B98" s="6"/>
    </row>
    <row r="99" spans="2:2" x14ac:dyDescent="0.2">
      <c r="B99" s="6"/>
    </row>
    <row r="100" spans="2:2" x14ac:dyDescent="0.2">
      <c r="B100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4"/>
  <sheetViews>
    <sheetView topLeftCell="A7" workbookViewId="0">
      <selection activeCell="A16" sqref="A16:D54"/>
    </sheetView>
  </sheetViews>
  <sheetFormatPr defaultRowHeight="12.75" x14ac:dyDescent="0.2"/>
  <cols>
    <col min="1" max="1" width="19.7109375" style="19" customWidth="1"/>
    <col min="2" max="2" width="4.42578125" style="21" customWidth="1"/>
    <col min="3" max="3" width="12.7109375" style="19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9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43" t="s">
        <v>50</v>
      </c>
      <c r="I1" s="44" t="s">
        <v>51</v>
      </c>
      <c r="J1" s="45" t="s">
        <v>52</v>
      </c>
    </row>
    <row r="2" spans="1:16" x14ac:dyDescent="0.2">
      <c r="I2" s="46" t="s">
        <v>53</v>
      </c>
      <c r="J2" s="47" t="s">
        <v>54</v>
      </c>
    </row>
    <row r="3" spans="1:16" x14ac:dyDescent="0.2">
      <c r="A3" s="48" t="s">
        <v>55</v>
      </c>
      <c r="I3" s="46" t="s">
        <v>56</v>
      </c>
      <c r="J3" s="47" t="s">
        <v>57</v>
      </c>
    </row>
    <row r="4" spans="1:16" x14ac:dyDescent="0.2">
      <c r="I4" s="46" t="s">
        <v>58</v>
      </c>
      <c r="J4" s="47" t="s">
        <v>57</v>
      </c>
    </row>
    <row r="5" spans="1:16" ht="13.5" thickBot="1" x14ac:dyDescent="0.25">
      <c r="I5" s="49" t="s">
        <v>59</v>
      </c>
      <c r="J5" s="50" t="s">
        <v>60</v>
      </c>
    </row>
    <row r="10" spans="1:16" ht="13.5" thickBot="1" x14ac:dyDescent="0.25"/>
    <row r="11" spans="1:16" ht="12.75" customHeight="1" thickBot="1" x14ac:dyDescent="0.25">
      <c r="A11" s="19" t="str">
        <f t="shared" ref="A11:A54" si="0">P11</f>
        <v>BAVM 178 </v>
      </c>
      <c r="B11" s="6" t="str">
        <f t="shared" ref="B11:B54" si="1">IF(H11=INT(H11),"I","II")</f>
        <v>I</v>
      </c>
      <c r="C11" s="19">
        <f t="shared" ref="C11:C54" si="2">1*G11</f>
        <v>53656.409599999999</v>
      </c>
      <c r="D11" s="21" t="str">
        <f t="shared" ref="D11:D54" si="3">VLOOKUP(F11,I$1:J$5,2,FALSE)</f>
        <v>vis</v>
      </c>
      <c r="E11" s="51">
        <f>VLOOKUP(C11,Active!C$21:E$968,3,FALSE)</f>
        <v>10388.061460107403</v>
      </c>
      <c r="F11" s="6" t="s">
        <v>59</v>
      </c>
      <c r="G11" s="21" t="str">
        <f t="shared" ref="G11:G54" si="4">MID(I11,3,LEN(I11)-3)</f>
        <v>53656.4096</v>
      </c>
      <c r="H11" s="19">
        <f t="shared" ref="H11:H54" si="5">1*K11</f>
        <v>10388</v>
      </c>
      <c r="I11" s="52" t="s">
        <v>170</v>
      </c>
      <c r="J11" s="53" t="s">
        <v>171</v>
      </c>
      <c r="K11" s="52">
        <v>10388</v>
      </c>
      <c r="L11" s="52" t="s">
        <v>172</v>
      </c>
      <c r="M11" s="53" t="s">
        <v>155</v>
      </c>
      <c r="N11" s="53" t="s">
        <v>173</v>
      </c>
      <c r="O11" s="54" t="s">
        <v>174</v>
      </c>
      <c r="P11" s="55" t="s">
        <v>175</v>
      </c>
    </row>
    <row r="12" spans="1:16" ht="12.75" customHeight="1" thickBot="1" x14ac:dyDescent="0.25">
      <c r="A12" s="19" t="str">
        <f t="shared" si="0"/>
        <v>BAVM 178 </v>
      </c>
      <c r="B12" s="6" t="str">
        <f t="shared" si="1"/>
        <v>I</v>
      </c>
      <c r="C12" s="19">
        <f t="shared" si="2"/>
        <v>53656.410300000003</v>
      </c>
      <c r="D12" s="21" t="str">
        <f t="shared" si="3"/>
        <v>vis</v>
      </c>
      <c r="E12" s="51">
        <f>VLOOKUP(C12,Active!C$21:E$968,3,FALSE)</f>
        <v>10388.061808649652</v>
      </c>
      <c r="F12" s="6" t="s">
        <v>59</v>
      </c>
      <c r="G12" s="21" t="str">
        <f t="shared" si="4"/>
        <v>53656.4103</v>
      </c>
      <c r="H12" s="19">
        <f t="shared" si="5"/>
        <v>10388</v>
      </c>
      <c r="I12" s="52" t="s">
        <v>176</v>
      </c>
      <c r="J12" s="53" t="s">
        <v>177</v>
      </c>
      <c r="K12" s="52" t="s">
        <v>178</v>
      </c>
      <c r="L12" s="52" t="s">
        <v>179</v>
      </c>
      <c r="M12" s="53" t="s">
        <v>155</v>
      </c>
      <c r="N12" s="53" t="s">
        <v>173</v>
      </c>
      <c r="O12" s="54" t="s">
        <v>150</v>
      </c>
      <c r="P12" s="55" t="s">
        <v>175</v>
      </c>
    </row>
    <row r="13" spans="1:16" ht="12.75" customHeight="1" thickBot="1" x14ac:dyDescent="0.25">
      <c r="A13" s="19" t="str">
        <f t="shared" si="0"/>
        <v>BAVM 178 </v>
      </c>
      <c r="B13" s="6" t="str">
        <f t="shared" si="1"/>
        <v>I</v>
      </c>
      <c r="C13" s="19">
        <f t="shared" si="2"/>
        <v>53658.405700000003</v>
      </c>
      <c r="D13" s="21" t="str">
        <f t="shared" si="3"/>
        <v>vis</v>
      </c>
      <c r="E13" s="51">
        <f>VLOOKUP(C13,Active!C$21:E$968,3,FALSE)</f>
        <v>10389.055353219039</v>
      </c>
      <c r="F13" s="6" t="s">
        <v>59</v>
      </c>
      <c r="G13" s="21" t="str">
        <f t="shared" si="4"/>
        <v>53658.4057</v>
      </c>
      <c r="H13" s="19">
        <f t="shared" si="5"/>
        <v>10389</v>
      </c>
      <c r="I13" s="52" t="s">
        <v>180</v>
      </c>
      <c r="J13" s="53" t="s">
        <v>181</v>
      </c>
      <c r="K13" s="52" t="s">
        <v>182</v>
      </c>
      <c r="L13" s="52" t="s">
        <v>183</v>
      </c>
      <c r="M13" s="53" t="s">
        <v>155</v>
      </c>
      <c r="N13" s="53" t="s">
        <v>184</v>
      </c>
      <c r="O13" s="54" t="s">
        <v>185</v>
      </c>
      <c r="P13" s="55" t="s">
        <v>175</v>
      </c>
    </row>
    <row r="14" spans="1:16" ht="12.75" customHeight="1" thickBot="1" x14ac:dyDescent="0.25">
      <c r="A14" s="19" t="str">
        <f t="shared" si="0"/>
        <v>BAVM 178 </v>
      </c>
      <c r="B14" s="6" t="str">
        <f t="shared" si="1"/>
        <v>I</v>
      </c>
      <c r="C14" s="19">
        <f t="shared" si="2"/>
        <v>53658.414299999997</v>
      </c>
      <c r="D14" s="21" t="str">
        <f t="shared" si="3"/>
        <v>vis</v>
      </c>
      <c r="E14" s="51">
        <f>VLOOKUP(C14,Active!C$21:E$968,3,FALSE)</f>
        <v>10389.059635309492</v>
      </c>
      <c r="F14" s="6" t="s">
        <v>59</v>
      </c>
      <c r="G14" s="21" t="str">
        <f t="shared" si="4"/>
        <v>53658.4143</v>
      </c>
      <c r="H14" s="19">
        <f t="shared" si="5"/>
        <v>10389</v>
      </c>
      <c r="I14" s="52" t="s">
        <v>186</v>
      </c>
      <c r="J14" s="53" t="s">
        <v>187</v>
      </c>
      <c r="K14" s="52" t="s">
        <v>182</v>
      </c>
      <c r="L14" s="52" t="s">
        <v>188</v>
      </c>
      <c r="M14" s="53" t="s">
        <v>155</v>
      </c>
      <c r="N14" s="53" t="s">
        <v>173</v>
      </c>
      <c r="O14" s="54" t="s">
        <v>189</v>
      </c>
      <c r="P14" s="55" t="s">
        <v>175</v>
      </c>
    </row>
    <row r="15" spans="1:16" ht="12.75" customHeight="1" thickBot="1" x14ac:dyDescent="0.25">
      <c r="A15" s="19" t="str">
        <f t="shared" si="0"/>
        <v>BAVM 178 </v>
      </c>
      <c r="B15" s="6" t="str">
        <f t="shared" si="1"/>
        <v>I</v>
      </c>
      <c r="C15" s="19">
        <f t="shared" si="2"/>
        <v>53660.421799999996</v>
      </c>
      <c r="D15" s="21" t="str">
        <f t="shared" si="3"/>
        <v>vis</v>
      </c>
      <c r="E15" s="51">
        <f>VLOOKUP(C15,Active!C$21:E$968,3,FALSE)</f>
        <v>10390.059204680567</v>
      </c>
      <c r="F15" s="6" t="s">
        <v>59</v>
      </c>
      <c r="G15" s="21" t="str">
        <f t="shared" si="4"/>
        <v>53660.4218</v>
      </c>
      <c r="H15" s="19">
        <f t="shared" si="5"/>
        <v>10390</v>
      </c>
      <c r="I15" s="52" t="s">
        <v>190</v>
      </c>
      <c r="J15" s="53" t="s">
        <v>191</v>
      </c>
      <c r="K15" s="52" t="s">
        <v>192</v>
      </c>
      <c r="L15" s="52" t="s">
        <v>193</v>
      </c>
      <c r="M15" s="53" t="s">
        <v>155</v>
      </c>
      <c r="N15" s="53" t="s">
        <v>173</v>
      </c>
      <c r="O15" s="54" t="s">
        <v>189</v>
      </c>
      <c r="P15" s="55" t="s">
        <v>175</v>
      </c>
    </row>
    <row r="16" spans="1:16" ht="12.75" customHeight="1" thickBot="1" x14ac:dyDescent="0.25">
      <c r="A16" s="19" t="str">
        <f t="shared" si="0"/>
        <v> PZ 4.314 </v>
      </c>
      <c r="B16" s="6" t="str">
        <f t="shared" si="1"/>
        <v>I</v>
      </c>
      <c r="C16" s="19">
        <f t="shared" si="2"/>
        <v>15288.34</v>
      </c>
      <c r="D16" s="21" t="str">
        <f t="shared" si="3"/>
        <v>vis</v>
      </c>
      <c r="E16" s="51">
        <f>VLOOKUP(C16,Active!C$21:E$968,3,FALSE)</f>
        <v>-8716.0716404886716</v>
      </c>
      <c r="F16" s="6" t="s">
        <v>59</v>
      </c>
      <c r="G16" s="21" t="str">
        <f t="shared" si="4"/>
        <v>15288.34</v>
      </c>
      <c r="H16" s="19">
        <f t="shared" si="5"/>
        <v>-8716</v>
      </c>
      <c r="I16" s="52" t="s">
        <v>63</v>
      </c>
      <c r="J16" s="53" t="s">
        <v>64</v>
      </c>
      <c r="K16" s="52">
        <v>-8716</v>
      </c>
      <c r="L16" s="52" t="s">
        <v>65</v>
      </c>
      <c r="M16" s="53" t="s">
        <v>66</v>
      </c>
      <c r="N16" s="53"/>
      <c r="O16" s="54" t="s">
        <v>67</v>
      </c>
      <c r="P16" s="54" t="s">
        <v>68</v>
      </c>
    </row>
    <row r="17" spans="1:16" ht="12.75" customHeight="1" thickBot="1" x14ac:dyDescent="0.25">
      <c r="A17" s="19" t="str">
        <f t="shared" si="0"/>
        <v> PZ 4.314 </v>
      </c>
      <c r="B17" s="6" t="str">
        <f t="shared" si="1"/>
        <v>I</v>
      </c>
      <c r="C17" s="19">
        <f t="shared" si="2"/>
        <v>18596.22</v>
      </c>
      <c r="D17" s="21" t="str">
        <f t="shared" si="3"/>
        <v>vis</v>
      </c>
      <c r="E17" s="51">
        <f>VLOOKUP(C17,Active!C$21:E$968,3,FALSE)</f>
        <v>-7069.0203173540885</v>
      </c>
      <c r="F17" s="6" t="s">
        <v>59</v>
      </c>
      <c r="G17" s="21" t="str">
        <f t="shared" si="4"/>
        <v>18596.22</v>
      </c>
      <c r="H17" s="19">
        <f t="shared" si="5"/>
        <v>-7069</v>
      </c>
      <c r="I17" s="52" t="s">
        <v>69</v>
      </c>
      <c r="J17" s="53" t="s">
        <v>70</v>
      </c>
      <c r="K17" s="52">
        <v>-7069</v>
      </c>
      <c r="L17" s="52" t="s">
        <v>71</v>
      </c>
      <c r="M17" s="53" t="s">
        <v>66</v>
      </c>
      <c r="N17" s="53"/>
      <c r="O17" s="54" t="s">
        <v>67</v>
      </c>
      <c r="P17" s="54" t="s">
        <v>68</v>
      </c>
    </row>
    <row r="18" spans="1:16" ht="12.75" customHeight="1" thickBot="1" x14ac:dyDescent="0.25">
      <c r="A18" s="19" t="str">
        <f t="shared" si="0"/>
        <v> KVBB 24.78 </v>
      </c>
      <c r="B18" s="6" t="str">
        <f t="shared" si="1"/>
        <v>I</v>
      </c>
      <c r="C18" s="19">
        <f t="shared" si="2"/>
        <v>25145.43</v>
      </c>
      <c r="D18" s="21" t="str">
        <f t="shared" si="3"/>
        <v>vis</v>
      </c>
      <c r="E18" s="51">
        <f>VLOOKUP(C18,Active!C$21:E$968,3,FALSE)</f>
        <v>-3808.0540803726271</v>
      </c>
      <c r="F18" s="6" t="s">
        <v>59</v>
      </c>
      <c r="G18" s="21" t="str">
        <f t="shared" si="4"/>
        <v>25145.430</v>
      </c>
      <c r="H18" s="19">
        <f t="shared" si="5"/>
        <v>-3808</v>
      </c>
      <c r="I18" s="52" t="s">
        <v>72</v>
      </c>
      <c r="J18" s="53" t="s">
        <v>73</v>
      </c>
      <c r="K18" s="52">
        <v>-3808</v>
      </c>
      <c r="L18" s="52" t="s">
        <v>74</v>
      </c>
      <c r="M18" s="53" t="s">
        <v>66</v>
      </c>
      <c r="N18" s="53"/>
      <c r="O18" s="54" t="s">
        <v>75</v>
      </c>
      <c r="P18" s="54" t="s">
        <v>76</v>
      </c>
    </row>
    <row r="19" spans="1:16" ht="12.75" customHeight="1" thickBot="1" x14ac:dyDescent="0.25">
      <c r="A19" s="19" t="str">
        <f t="shared" si="0"/>
        <v> KVBB 24.78 </v>
      </c>
      <c r="B19" s="6" t="str">
        <f t="shared" si="1"/>
        <v>I</v>
      </c>
      <c r="C19" s="19">
        <f t="shared" si="2"/>
        <v>25362.493999999999</v>
      </c>
      <c r="D19" s="21" t="str">
        <f t="shared" si="3"/>
        <v>vis</v>
      </c>
      <c r="E19" s="51">
        <f>VLOOKUP(C19,Active!C$21:E$968,3,FALSE)</f>
        <v>-3699.9741172527793</v>
      </c>
      <c r="F19" s="6" t="s">
        <v>59</v>
      </c>
      <c r="G19" s="21" t="str">
        <f t="shared" si="4"/>
        <v>25362.494</v>
      </c>
      <c r="H19" s="19">
        <f t="shared" si="5"/>
        <v>-3700</v>
      </c>
      <c r="I19" s="52" t="s">
        <v>77</v>
      </c>
      <c r="J19" s="53" t="s">
        <v>78</v>
      </c>
      <c r="K19" s="52">
        <v>-3700</v>
      </c>
      <c r="L19" s="52" t="s">
        <v>79</v>
      </c>
      <c r="M19" s="53" t="s">
        <v>66</v>
      </c>
      <c r="N19" s="53"/>
      <c r="O19" s="54" t="s">
        <v>75</v>
      </c>
      <c r="P19" s="54" t="s">
        <v>76</v>
      </c>
    </row>
    <row r="20" spans="1:16" ht="12.75" customHeight="1" thickBot="1" x14ac:dyDescent="0.25">
      <c r="A20" s="19" t="str">
        <f t="shared" si="0"/>
        <v> KVBB 24.78 </v>
      </c>
      <c r="B20" s="6" t="str">
        <f t="shared" si="1"/>
        <v>I</v>
      </c>
      <c r="C20" s="19">
        <f t="shared" si="2"/>
        <v>25366.563999999998</v>
      </c>
      <c r="D20" s="21" t="str">
        <f t="shared" si="3"/>
        <v>vis</v>
      </c>
      <c r="E20" s="51">
        <f>VLOOKUP(C20,Active!C$21:E$968,3,FALSE)</f>
        <v>-3697.9475930484073</v>
      </c>
      <c r="F20" s="6" t="s">
        <v>59</v>
      </c>
      <c r="G20" s="21" t="str">
        <f t="shared" si="4"/>
        <v>25366.564</v>
      </c>
      <c r="H20" s="19">
        <f t="shared" si="5"/>
        <v>-3698</v>
      </c>
      <c r="I20" s="52" t="s">
        <v>80</v>
      </c>
      <c r="J20" s="53" t="s">
        <v>81</v>
      </c>
      <c r="K20" s="52">
        <v>-3698</v>
      </c>
      <c r="L20" s="52" t="s">
        <v>82</v>
      </c>
      <c r="M20" s="53" t="s">
        <v>66</v>
      </c>
      <c r="N20" s="53"/>
      <c r="O20" s="54" t="s">
        <v>75</v>
      </c>
      <c r="P20" s="54" t="s">
        <v>76</v>
      </c>
    </row>
    <row r="21" spans="1:16" ht="12.75" customHeight="1" thickBot="1" x14ac:dyDescent="0.25">
      <c r="A21" s="19" t="str">
        <f t="shared" si="0"/>
        <v> KVBB 24.78 </v>
      </c>
      <c r="B21" s="6" t="str">
        <f t="shared" si="1"/>
        <v>I</v>
      </c>
      <c r="C21" s="19">
        <f t="shared" si="2"/>
        <v>25396.472000000002</v>
      </c>
      <c r="D21" s="21" t="str">
        <f t="shared" si="3"/>
        <v>vis</v>
      </c>
      <c r="E21" s="51">
        <f>VLOOKUP(C21,Active!C$21:E$968,3,FALSE)</f>
        <v>-3683.0558766099894</v>
      </c>
      <c r="F21" s="6" t="s">
        <v>59</v>
      </c>
      <c r="G21" s="21" t="str">
        <f t="shared" si="4"/>
        <v>25396.472</v>
      </c>
      <c r="H21" s="19">
        <f t="shared" si="5"/>
        <v>-3683</v>
      </c>
      <c r="I21" s="52" t="s">
        <v>83</v>
      </c>
      <c r="J21" s="53" t="s">
        <v>84</v>
      </c>
      <c r="K21" s="52">
        <v>-3683</v>
      </c>
      <c r="L21" s="52" t="s">
        <v>85</v>
      </c>
      <c r="M21" s="53" t="s">
        <v>66</v>
      </c>
      <c r="N21" s="53"/>
      <c r="O21" s="54" t="s">
        <v>75</v>
      </c>
      <c r="P21" s="54" t="s">
        <v>76</v>
      </c>
    </row>
    <row r="22" spans="1:16" ht="12.75" customHeight="1" thickBot="1" x14ac:dyDescent="0.25">
      <c r="A22" s="19" t="str">
        <f t="shared" si="0"/>
        <v> KVBB 24.78 </v>
      </c>
      <c r="B22" s="6" t="str">
        <f t="shared" si="1"/>
        <v>I</v>
      </c>
      <c r="C22" s="19">
        <f t="shared" si="2"/>
        <v>25647.688999999998</v>
      </c>
      <c r="D22" s="21" t="str">
        <f t="shared" si="3"/>
        <v>vis</v>
      </c>
      <c r="E22" s="51">
        <f>VLOOKUP(C22,Active!C$21:E$968,3,FALSE)</f>
        <v>-3557.9705372857406</v>
      </c>
      <c r="F22" s="6" t="s">
        <v>59</v>
      </c>
      <c r="G22" s="21" t="str">
        <f t="shared" si="4"/>
        <v>25647.689</v>
      </c>
      <c r="H22" s="19">
        <f t="shared" si="5"/>
        <v>-3558</v>
      </c>
      <c r="I22" s="52" t="s">
        <v>86</v>
      </c>
      <c r="J22" s="53" t="s">
        <v>87</v>
      </c>
      <c r="K22" s="52">
        <v>-3558</v>
      </c>
      <c r="L22" s="52" t="s">
        <v>88</v>
      </c>
      <c r="M22" s="53" t="s">
        <v>66</v>
      </c>
      <c r="N22" s="53"/>
      <c r="O22" s="54" t="s">
        <v>75</v>
      </c>
      <c r="P22" s="54" t="s">
        <v>76</v>
      </c>
    </row>
    <row r="23" spans="1:16" ht="12.75" customHeight="1" thickBot="1" x14ac:dyDescent="0.25">
      <c r="A23" s="19" t="str">
        <f t="shared" si="0"/>
        <v> KVBB 24.78 </v>
      </c>
      <c r="B23" s="6" t="str">
        <f t="shared" si="1"/>
        <v>I</v>
      </c>
      <c r="C23" s="19">
        <f t="shared" si="2"/>
        <v>25653.679</v>
      </c>
      <c r="D23" s="21" t="str">
        <f t="shared" si="3"/>
        <v>vis</v>
      </c>
      <c r="E23" s="51">
        <f>VLOOKUP(C23,Active!C$21:E$968,3,FALSE)</f>
        <v>-3554.9880114910993</v>
      </c>
      <c r="F23" s="6" t="s">
        <v>59</v>
      </c>
      <c r="G23" s="21" t="str">
        <f t="shared" si="4"/>
        <v>25653.679</v>
      </c>
      <c r="H23" s="19">
        <f t="shared" si="5"/>
        <v>-3555</v>
      </c>
      <c r="I23" s="52" t="s">
        <v>89</v>
      </c>
      <c r="J23" s="53" t="s">
        <v>90</v>
      </c>
      <c r="K23" s="52">
        <v>-3555</v>
      </c>
      <c r="L23" s="52" t="s">
        <v>91</v>
      </c>
      <c r="M23" s="53" t="s">
        <v>66</v>
      </c>
      <c r="N23" s="53"/>
      <c r="O23" s="54" t="s">
        <v>75</v>
      </c>
      <c r="P23" s="54" t="s">
        <v>76</v>
      </c>
    </row>
    <row r="24" spans="1:16" ht="12.75" customHeight="1" thickBot="1" x14ac:dyDescent="0.25">
      <c r="A24" s="19" t="str">
        <f t="shared" si="0"/>
        <v> AAAN 11.5.14 </v>
      </c>
      <c r="B24" s="6" t="str">
        <f t="shared" si="1"/>
        <v>I</v>
      </c>
      <c r="C24" s="19">
        <f t="shared" si="2"/>
        <v>28280.588</v>
      </c>
      <c r="D24" s="21" t="str">
        <f t="shared" si="3"/>
        <v>vis</v>
      </c>
      <c r="E24" s="51">
        <f>VLOOKUP(C24,Active!C$21:E$968,3,FALSE)</f>
        <v>-2247.0040627976337</v>
      </c>
      <c r="F24" s="6" t="s">
        <v>59</v>
      </c>
      <c r="G24" s="21" t="str">
        <f t="shared" si="4"/>
        <v>28280.588</v>
      </c>
      <c r="H24" s="19">
        <f t="shared" si="5"/>
        <v>-2247</v>
      </c>
      <c r="I24" s="52" t="s">
        <v>92</v>
      </c>
      <c r="J24" s="53" t="s">
        <v>93</v>
      </c>
      <c r="K24" s="52">
        <v>-2247</v>
      </c>
      <c r="L24" s="52" t="s">
        <v>94</v>
      </c>
      <c r="M24" s="53" t="s">
        <v>62</v>
      </c>
      <c r="N24" s="53"/>
      <c r="O24" s="54" t="s">
        <v>95</v>
      </c>
      <c r="P24" s="54" t="s">
        <v>96</v>
      </c>
    </row>
    <row r="25" spans="1:16" ht="12.75" customHeight="1" thickBot="1" x14ac:dyDescent="0.25">
      <c r="A25" s="19" t="str">
        <f t="shared" si="0"/>
        <v> AAAN 11.5.14 </v>
      </c>
      <c r="B25" s="6" t="str">
        <f t="shared" si="1"/>
        <v>I</v>
      </c>
      <c r="C25" s="19">
        <f t="shared" si="2"/>
        <v>29186.370999999999</v>
      </c>
      <c r="D25" s="21" t="str">
        <f t="shared" si="3"/>
        <v>vis</v>
      </c>
      <c r="E25" s="51">
        <f>VLOOKUP(C25,Active!C$21:E$968,3,FALSE)</f>
        <v>-1795.9988604859382</v>
      </c>
      <c r="F25" s="6" t="s">
        <v>59</v>
      </c>
      <c r="G25" s="21" t="str">
        <f t="shared" si="4"/>
        <v>29186.371</v>
      </c>
      <c r="H25" s="19">
        <f t="shared" si="5"/>
        <v>-1796</v>
      </c>
      <c r="I25" s="52" t="s">
        <v>97</v>
      </c>
      <c r="J25" s="53" t="s">
        <v>98</v>
      </c>
      <c r="K25" s="52">
        <v>-1796</v>
      </c>
      <c r="L25" s="52" t="s">
        <v>99</v>
      </c>
      <c r="M25" s="53" t="s">
        <v>62</v>
      </c>
      <c r="N25" s="53"/>
      <c r="O25" s="54" t="s">
        <v>95</v>
      </c>
      <c r="P25" s="54" t="s">
        <v>96</v>
      </c>
    </row>
    <row r="26" spans="1:16" ht="12.75" customHeight="1" thickBot="1" x14ac:dyDescent="0.25">
      <c r="A26" s="19" t="str">
        <f t="shared" si="0"/>
        <v> AHSB 6.2.165 </v>
      </c>
      <c r="B26" s="6" t="str">
        <f t="shared" si="1"/>
        <v>I</v>
      </c>
      <c r="C26" s="19">
        <f t="shared" si="2"/>
        <v>32327.45</v>
      </c>
      <c r="D26" s="21" t="str">
        <f t="shared" si="3"/>
        <v>vis</v>
      </c>
      <c r="E26" s="51">
        <f>VLOOKUP(C26,Active!C$21:E$968,3,FALSE)</f>
        <v>-232.00067342345309</v>
      </c>
      <c r="F26" s="6" t="s">
        <v>59</v>
      </c>
      <c r="G26" s="21" t="str">
        <f t="shared" si="4"/>
        <v>32327.450</v>
      </c>
      <c r="H26" s="19">
        <f t="shared" si="5"/>
        <v>-232</v>
      </c>
      <c r="I26" s="52" t="s">
        <v>100</v>
      </c>
      <c r="J26" s="53" t="s">
        <v>101</v>
      </c>
      <c r="K26" s="52">
        <v>-232</v>
      </c>
      <c r="L26" s="52" t="s">
        <v>102</v>
      </c>
      <c r="M26" s="53" t="s">
        <v>66</v>
      </c>
      <c r="N26" s="53"/>
      <c r="O26" s="54" t="s">
        <v>95</v>
      </c>
      <c r="P26" s="54" t="s">
        <v>103</v>
      </c>
    </row>
    <row r="27" spans="1:16" ht="12.75" customHeight="1" thickBot="1" x14ac:dyDescent="0.25">
      <c r="A27" s="19" t="str">
        <f t="shared" si="0"/>
        <v> AHSB 6.2.165 </v>
      </c>
      <c r="B27" s="6" t="str">
        <f t="shared" si="1"/>
        <v>I</v>
      </c>
      <c r="C27" s="19">
        <f t="shared" si="2"/>
        <v>32793.404999999999</v>
      </c>
      <c r="D27" s="21" t="str">
        <f t="shared" si="3"/>
        <v>vis</v>
      </c>
      <c r="E27" s="51">
        <f>VLOOKUP(C27,Active!C$21:E$968,3,FALSE)</f>
        <v>6.4729274336190442E-3</v>
      </c>
      <c r="F27" s="6" t="s">
        <v>59</v>
      </c>
      <c r="G27" s="21" t="str">
        <f t="shared" si="4"/>
        <v>32793.405</v>
      </c>
      <c r="H27" s="19">
        <f t="shared" si="5"/>
        <v>0</v>
      </c>
      <c r="I27" s="52" t="s">
        <v>104</v>
      </c>
      <c r="J27" s="53" t="s">
        <v>105</v>
      </c>
      <c r="K27" s="52">
        <v>0</v>
      </c>
      <c r="L27" s="52" t="s">
        <v>106</v>
      </c>
      <c r="M27" s="53" t="s">
        <v>66</v>
      </c>
      <c r="N27" s="53"/>
      <c r="O27" s="54" t="s">
        <v>95</v>
      </c>
      <c r="P27" s="54" t="s">
        <v>103</v>
      </c>
    </row>
    <row r="28" spans="1:16" ht="12.75" customHeight="1" thickBot="1" x14ac:dyDescent="0.25">
      <c r="A28" s="19" t="str">
        <f t="shared" si="0"/>
        <v> AHSB 6.2.165 </v>
      </c>
      <c r="B28" s="6" t="str">
        <f t="shared" si="1"/>
        <v>I</v>
      </c>
      <c r="C28" s="19">
        <f t="shared" si="2"/>
        <v>32797.42</v>
      </c>
      <c r="D28" s="21" t="str">
        <f t="shared" si="3"/>
        <v>vis</v>
      </c>
      <c r="E28" s="51">
        <f>VLOOKUP(C28,Active!C$21:E$968,3,FALSE)</f>
        <v>2.0056116695839963</v>
      </c>
      <c r="F28" s="6" t="s">
        <v>59</v>
      </c>
      <c r="G28" s="21" t="str">
        <f t="shared" si="4"/>
        <v>32797.420</v>
      </c>
      <c r="H28" s="19">
        <f t="shared" si="5"/>
        <v>2</v>
      </c>
      <c r="I28" s="52" t="s">
        <v>107</v>
      </c>
      <c r="J28" s="53" t="s">
        <v>108</v>
      </c>
      <c r="K28" s="52">
        <v>2</v>
      </c>
      <c r="L28" s="52" t="s">
        <v>109</v>
      </c>
      <c r="M28" s="53" t="s">
        <v>66</v>
      </c>
      <c r="N28" s="53"/>
      <c r="O28" s="54" t="s">
        <v>95</v>
      </c>
      <c r="P28" s="54" t="s">
        <v>103</v>
      </c>
    </row>
    <row r="29" spans="1:16" ht="12.75" customHeight="1" thickBot="1" x14ac:dyDescent="0.25">
      <c r="A29" s="19" t="str">
        <f t="shared" si="0"/>
        <v> AHSB 6.2.165 </v>
      </c>
      <c r="B29" s="6" t="str">
        <f t="shared" si="1"/>
        <v>I</v>
      </c>
      <c r="C29" s="19">
        <f t="shared" si="2"/>
        <v>33504.364999999998</v>
      </c>
      <c r="D29" s="21" t="str">
        <f t="shared" si="3"/>
        <v>vis</v>
      </c>
      <c r="E29" s="51">
        <f>VLOOKUP(C29,Active!C$21:E$968,3,FALSE)</f>
        <v>354.00589512405537</v>
      </c>
      <c r="F29" s="6" t="s">
        <v>59</v>
      </c>
      <c r="G29" s="21" t="str">
        <f t="shared" si="4"/>
        <v>33504.365</v>
      </c>
      <c r="H29" s="19">
        <f t="shared" si="5"/>
        <v>354</v>
      </c>
      <c r="I29" s="52" t="s">
        <v>110</v>
      </c>
      <c r="J29" s="53" t="s">
        <v>111</v>
      </c>
      <c r="K29" s="52">
        <v>354</v>
      </c>
      <c r="L29" s="52" t="s">
        <v>112</v>
      </c>
      <c r="M29" s="53" t="s">
        <v>66</v>
      </c>
      <c r="N29" s="53"/>
      <c r="O29" s="54" t="s">
        <v>95</v>
      </c>
      <c r="P29" s="54" t="s">
        <v>103</v>
      </c>
    </row>
    <row r="30" spans="1:16" ht="12.75" customHeight="1" thickBot="1" x14ac:dyDescent="0.25">
      <c r="A30" s="19" t="str">
        <f t="shared" si="0"/>
        <v> AHSB 6.2.165 </v>
      </c>
      <c r="B30" s="6" t="str">
        <f t="shared" si="1"/>
        <v>I</v>
      </c>
      <c r="C30" s="19">
        <f t="shared" si="2"/>
        <v>33506.355000000003</v>
      </c>
      <c r="D30" s="21" t="str">
        <f t="shared" si="3"/>
        <v>vis</v>
      </c>
      <c r="E30" s="51">
        <f>VLOOKUP(C30,Active!C$21:E$968,3,FALSE)</f>
        <v>354.99675093897201</v>
      </c>
      <c r="F30" s="6" t="s">
        <v>59</v>
      </c>
      <c r="G30" s="21" t="str">
        <f t="shared" si="4"/>
        <v>33506.355</v>
      </c>
      <c r="H30" s="19">
        <f t="shared" si="5"/>
        <v>355</v>
      </c>
      <c r="I30" s="52" t="s">
        <v>113</v>
      </c>
      <c r="J30" s="53" t="s">
        <v>114</v>
      </c>
      <c r="K30" s="52">
        <v>355</v>
      </c>
      <c r="L30" s="52" t="s">
        <v>115</v>
      </c>
      <c r="M30" s="53" t="s">
        <v>66</v>
      </c>
      <c r="N30" s="53"/>
      <c r="O30" s="54" t="s">
        <v>95</v>
      </c>
      <c r="P30" s="54" t="s">
        <v>103</v>
      </c>
    </row>
    <row r="31" spans="1:16" ht="12.75" customHeight="1" thickBot="1" x14ac:dyDescent="0.25">
      <c r="A31" s="19" t="str">
        <f t="shared" si="0"/>
        <v> AHSB 6.2.165 </v>
      </c>
      <c r="B31" s="6" t="str">
        <f t="shared" si="1"/>
        <v>I</v>
      </c>
      <c r="C31" s="19">
        <f t="shared" si="2"/>
        <v>33512.39</v>
      </c>
      <c r="D31" s="21" t="str">
        <f t="shared" si="3"/>
        <v>vis</v>
      </c>
      <c r="E31" s="51">
        <f>VLOOKUP(C31,Active!C$21:E$968,3,FALSE)</f>
        <v>358.00168302088281</v>
      </c>
      <c r="F31" s="6" t="s">
        <v>59</v>
      </c>
      <c r="G31" s="21" t="str">
        <f t="shared" si="4"/>
        <v>33512.390</v>
      </c>
      <c r="H31" s="19">
        <f t="shared" si="5"/>
        <v>358</v>
      </c>
      <c r="I31" s="52" t="s">
        <v>116</v>
      </c>
      <c r="J31" s="53" t="s">
        <v>117</v>
      </c>
      <c r="K31" s="52">
        <v>358</v>
      </c>
      <c r="L31" s="52" t="s">
        <v>118</v>
      </c>
      <c r="M31" s="53" t="s">
        <v>66</v>
      </c>
      <c r="N31" s="53"/>
      <c r="O31" s="54" t="s">
        <v>95</v>
      </c>
      <c r="P31" s="54" t="s">
        <v>103</v>
      </c>
    </row>
    <row r="32" spans="1:16" ht="12.75" customHeight="1" thickBot="1" x14ac:dyDescent="0.25">
      <c r="A32" s="19" t="str">
        <f t="shared" si="0"/>
        <v> AHSB 6.2.165 </v>
      </c>
      <c r="B32" s="6" t="str">
        <f t="shared" si="1"/>
        <v>I</v>
      </c>
      <c r="C32" s="19">
        <f t="shared" si="2"/>
        <v>33514.375</v>
      </c>
      <c r="D32" s="21" t="str">
        <f t="shared" si="3"/>
        <v>vis</v>
      </c>
      <c r="E32" s="51">
        <f>VLOOKUP(C32,Active!C$21:E$968,3,FALSE)</f>
        <v>358.99004924832246</v>
      </c>
      <c r="F32" s="6" t="s">
        <v>59</v>
      </c>
      <c r="G32" s="21" t="str">
        <f t="shared" si="4"/>
        <v>33514.375</v>
      </c>
      <c r="H32" s="19">
        <f t="shared" si="5"/>
        <v>359</v>
      </c>
      <c r="I32" s="52" t="s">
        <v>119</v>
      </c>
      <c r="J32" s="53" t="s">
        <v>120</v>
      </c>
      <c r="K32" s="52">
        <v>359</v>
      </c>
      <c r="L32" s="52" t="s">
        <v>121</v>
      </c>
      <c r="M32" s="53" t="s">
        <v>66</v>
      </c>
      <c r="N32" s="53"/>
      <c r="O32" s="54" t="s">
        <v>95</v>
      </c>
      <c r="P32" s="54" t="s">
        <v>103</v>
      </c>
    </row>
    <row r="33" spans="1:16" ht="12.75" customHeight="1" thickBot="1" x14ac:dyDescent="0.25">
      <c r="A33" s="19" t="str">
        <f t="shared" si="0"/>
        <v> AHSB 6.2.165 </v>
      </c>
      <c r="B33" s="6" t="str">
        <f t="shared" si="1"/>
        <v>I</v>
      </c>
      <c r="C33" s="19">
        <f t="shared" si="2"/>
        <v>34237.425000000003</v>
      </c>
      <c r="D33" s="21" t="str">
        <f t="shared" si="3"/>
        <v>vis</v>
      </c>
      <c r="E33" s="51">
        <f>VLOOKUP(C33,Active!C$21:E$968,3,FALSE)</f>
        <v>719.00929395867001</v>
      </c>
      <c r="F33" s="6" t="s">
        <v>59</v>
      </c>
      <c r="G33" s="21" t="str">
        <f t="shared" si="4"/>
        <v>34237.425</v>
      </c>
      <c r="H33" s="19">
        <f t="shared" si="5"/>
        <v>719</v>
      </c>
      <c r="I33" s="52" t="s">
        <v>122</v>
      </c>
      <c r="J33" s="53" t="s">
        <v>123</v>
      </c>
      <c r="K33" s="52">
        <v>719</v>
      </c>
      <c r="L33" s="52" t="s">
        <v>124</v>
      </c>
      <c r="M33" s="53" t="s">
        <v>66</v>
      </c>
      <c r="N33" s="53"/>
      <c r="O33" s="54" t="s">
        <v>95</v>
      </c>
      <c r="P33" s="54" t="s">
        <v>103</v>
      </c>
    </row>
    <row r="34" spans="1:16" ht="12.75" customHeight="1" thickBot="1" x14ac:dyDescent="0.25">
      <c r="A34" s="19" t="str">
        <f t="shared" si="0"/>
        <v> AHSB 6.2.165 </v>
      </c>
      <c r="B34" s="6" t="str">
        <f t="shared" si="1"/>
        <v>I</v>
      </c>
      <c r="C34" s="19">
        <f t="shared" si="2"/>
        <v>34239.39</v>
      </c>
      <c r="D34" s="21" t="str">
        <f t="shared" si="3"/>
        <v>vis</v>
      </c>
      <c r="E34" s="51">
        <f>VLOOKUP(C34,Active!C$21:E$968,3,FALSE)</f>
        <v>719.987701836209</v>
      </c>
      <c r="F34" s="6" t="s">
        <v>59</v>
      </c>
      <c r="G34" s="21" t="str">
        <f t="shared" si="4"/>
        <v>34239.390</v>
      </c>
      <c r="H34" s="19">
        <f t="shared" si="5"/>
        <v>720</v>
      </c>
      <c r="I34" s="52" t="s">
        <v>125</v>
      </c>
      <c r="J34" s="53" t="s">
        <v>126</v>
      </c>
      <c r="K34" s="52">
        <v>720</v>
      </c>
      <c r="L34" s="52" t="s">
        <v>127</v>
      </c>
      <c r="M34" s="53" t="s">
        <v>66</v>
      </c>
      <c r="N34" s="53"/>
      <c r="O34" s="54" t="s">
        <v>95</v>
      </c>
      <c r="P34" s="54" t="s">
        <v>103</v>
      </c>
    </row>
    <row r="35" spans="1:16" ht="12.75" customHeight="1" thickBot="1" x14ac:dyDescent="0.25">
      <c r="A35" s="19" t="str">
        <f t="shared" si="0"/>
        <v> AHSB 6.2.165 </v>
      </c>
      <c r="B35" s="6" t="str">
        <f t="shared" si="1"/>
        <v>I</v>
      </c>
      <c r="C35" s="19">
        <f t="shared" si="2"/>
        <v>34707.364999999998</v>
      </c>
      <c r="D35" s="21" t="str">
        <f t="shared" si="3"/>
        <v>vis</v>
      </c>
      <c r="E35" s="51">
        <f>VLOOKUP(C35,Active!C$21:E$968,3,FALSE)</f>
        <v>953.00064152685798</v>
      </c>
      <c r="F35" s="6" t="s">
        <v>59</v>
      </c>
      <c r="G35" s="21" t="str">
        <f t="shared" si="4"/>
        <v>34707.365</v>
      </c>
      <c r="H35" s="19">
        <f t="shared" si="5"/>
        <v>953</v>
      </c>
      <c r="I35" s="52" t="s">
        <v>128</v>
      </c>
      <c r="J35" s="53" t="s">
        <v>129</v>
      </c>
      <c r="K35" s="52">
        <v>953</v>
      </c>
      <c r="L35" s="52" t="s">
        <v>130</v>
      </c>
      <c r="M35" s="53" t="s">
        <v>66</v>
      </c>
      <c r="N35" s="53"/>
      <c r="O35" s="54" t="s">
        <v>95</v>
      </c>
      <c r="P35" s="54" t="s">
        <v>103</v>
      </c>
    </row>
    <row r="36" spans="1:16" ht="12.75" customHeight="1" thickBot="1" x14ac:dyDescent="0.25">
      <c r="A36" s="19" t="str">
        <f t="shared" si="0"/>
        <v> AHSB 6.2.165 </v>
      </c>
      <c r="B36" s="6" t="str">
        <f t="shared" si="1"/>
        <v>I</v>
      </c>
      <c r="C36" s="19">
        <f t="shared" si="2"/>
        <v>34980.498</v>
      </c>
      <c r="D36" s="21" t="str">
        <f t="shared" si="3"/>
        <v>vis</v>
      </c>
      <c r="E36" s="51">
        <f>VLOOKUP(C36,Active!C$21:E$968,3,FALSE)</f>
        <v>1088.9983406700314</v>
      </c>
      <c r="F36" s="6" t="s">
        <v>59</v>
      </c>
      <c r="G36" s="21" t="str">
        <f t="shared" si="4"/>
        <v>34980.498</v>
      </c>
      <c r="H36" s="19">
        <f t="shared" si="5"/>
        <v>1089</v>
      </c>
      <c r="I36" s="52" t="s">
        <v>131</v>
      </c>
      <c r="J36" s="53" t="s">
        <v>132</v>
      </c>
      <c r="K36" s="52">
        <v>1089</v>
      </c>
      <c r="L36" s="52" t="s">
        <v>61</v>
      </c>
      <c r="M36" s="53" t="s">
        <v>66</v>
      </c>
      <c r="N36" s="53"/>
      <c r="O36" s="54" t="s">
        <v>95</v>
      </c>
      <c r="P36" s="54" t="s">
        <v>103</v>
      </c>
    </row>
    <row r="37" spans="1:16" ht="12.75" customHeight="1" thickBot="1" x14ac:dyDescent="0.25">
      <c r="A37" s="19" t="str">
        <f t="shared" si="0"/>
        <v> AHSB 6.2.165 </v>
      </c>
      <c r="B37" s="6" t="str">
        <f t="shared" si="1"/>
        <v>I</v>
      </c>
      <c r="C37" s="19">
        <f t="shared" si="2"/>
        <v>35398.245000000003</v>
      </c>
      <c r="D37" s="21" t="str">
        <f t="shared" si="3"/>
        <v>vis</v>
      </c>
      <c r="E37" s="51">
        <f>VLOOKUP(C37,Active!C$21:E$968,3,FALSE)</f>
        <v>1297.0018804252545</v>
      </c>
      <c r="F37" s="6" t="s">
        <v>59</v>
      </c>
      <c r="G37" s="21" t="str">
        <f t="shared" si="4"/>
        <v>35398.245</v>
      </c>
      <c r="H37" s="19">
        <f t="shared" si="5"/>
        <v>1297</v>
      </c>
      <c r="I37" s="52" t="s">
        <v>133</v>
      </c>
      <c r="J37" s="53" t="s">
        <v>134</v>
      </c>
      <c r="K37" s="52">
        <v>1297</v>
      </c>
      <c r="L37" s="52" t="s">
        <v>135</v>
      </c>
      <c r="M37" s="53" t="s">
        <v>66</v>
      </c>
      <c r="N37" s="53"/>
      <c r="O37" s="54" t="s">
        <v>95</v>
      </c>
      <c r="P37" s="54" t="s">
        <v>103</v>
      </c>
    </row>
    <row r="38" spans="1:16" ht="12.75" customHeight="1" thickBot="1" x14ac:dyDescent="0.25">
      <c r="A38" s="19" t="str">
        <f t="shared" si="0"/>
        <v> AHSB 6.2.165 </v>
      </c>
      <c r="B38" s="6" t="str">
        <f t="shared" si="1"/>
        <v>I</v>
      </c>
      <c r="C38" s="19">
        <f t="shared" si="2"/>
        <v>35428.385000000002</v>
      </c>
      <c r="D38" s="21" t="str">
        <f t="shared" si="3"/>
        <v>vis</v>
      </c>
      <c r="E38" s="51">
        <f>VLOOKUP(C38,Active!C$21:E$968,3,FALSE)</f>
        <v>1312.0091137224947</v>
      </c>
      <c r="F38" s="6" t="s">
        <v>59</v>
      </c>
      <c r="G38" s="21" t="str">
        <f t="shared" si="4"/>
        <v>35428.385</v>
      </c>
      <c r="H38" s="19">
        <f t="shared" si="5"/>
        <v>1312</v>
      </c>
      <c r="I38" s="52" t="s">
        <v>136</v>
      </c>
      <c r="J38" s="53" t="s">
        <v>137</v>
      </c>
      <c r="K38" s="52">
        <v>1312</v>
      </c>
      <c r="L38" s="52" t="s">
        <v>138</v>
      </c>
      <c r="M38" s="53" t="s">
        <v>66</v>
      </c>
      <c r="N38" s="53"/>
      <c r="O38" s="54" t="s">
        <v>95</v>
      </c>
      <c r="P38" s="54" t="s">
        <v>103</v>
      </c>
    </row>
    <row r="39" spans="1:16" ht="12.75" customHeight="1" thickBot="1" x14ac:dyDescent="0.25">
      <c r="A39" s="19" t="str">
        <f t="shared" si="0"/>
        <v> AHSB 6.2.165 </v>
      </c>
      <c r="B39" s="6" t="str">
        <f t="shared" si="1"/>
        <v>I</v>
      </c>
      <c r="C39" s="19">
        <f t="shared" si="2"/>
        <v>35432.372000000003</v>
      </c>
      <c r="D39" s="21" t="str">
        <f t="shared" si="3"/>
        <v>vis</v>
      </c>
      <c r="E39" s="51">
        <f>VLOOKUP(C39,Active!C$21:E$968,3,FALSE)</f>
        <v>1313.9943107747879</v>
      </c>
      <c r="F39" s="6" t="s">
        <v>59</v>
      </c>
      <c r="G39" s="21" t="str">
        <f t="shared" si="4"/>
        <v>35432.372</v>
      </c>
      <c r="H39" s="19">
        <f t="shared" si="5"/>
        <v>1314</v>
      </c>
      <c r="I39" s="52" t="s">
        <v>139</v>
      </c>
      <c r="J39" s="53" t="s">
        <v>140</v>
      </c>
      <c r="K39" s="52">
        <v>1314</v>
      </c>
      <c r="L39" s="52" t="s">
        <v>141</v>
      </c>
      <c r="M39" s="53" t="s">
        <v>66</v>
      </c>
      <c r="N39" s="53"/>
      <c r="O39" s="54" t="s">
        <v>95</v>
      </c>
      <c r="P39" s="54" t="s">
        <v>103</v>
      </c>
    </row>
    <row r="40" spans="1:16" ht="12.75" customHeight="1" thickBot="1" x14ac:dyDescent="0.25">
      <c r="A40" s="19" t="str">
        <f t="shared" si="0"/>
        <v> AHSB 6.2.165 </v>
      </c>
      <c r="B40" s="6" t="str">
        <f t="shared" si="1"/>
        <v>I</v>
      </c>
      <c r="C40" s="19">
        <f t="shared" si="2"/>
        <v>36848.28</v>
      </c>
      <c r="D40" s="21" t="str">
        <f t="shared" si="3"/>
        <v>vis</v>
      </c>
      <c r="E40" s="51">
        <f>VLOOKUP(C40,Active!C$21:E$968,3,FALSE)</f>
        <v>2018.999675188501</v>
      </c>
      <c r="F40" s="6" t="s">
        <v>59</v>
      </c>
      <c r="G40" s="21" t="str">
        <f t="shared" si="4"/>
        <v>36848.280</v>
      </c>
      <c r="H40" s="19">
        <f t="shared" si="5"/>
        <v>2019</v>
      </c>
      <c r="I40" s="52" t="s">
        <v>142</v>
      </c>
      <c r="J40" s="53" t="s">
        <v>143</v>
      </c>
      <c r="K40" s="52">
        <v>2019</v>
      </c>
      <c r="L40" s="52" t="s">
        <v>102</v>
      </c>
      <c r="M40" s="53" t="s">
        <v>66</v>
      </c>
      <c r="N40" s="53"/>
      <c r="O40" s="54" t="s">
        <v>95</v>
      </c>
      <c r="P40" s="54" t="s">
        <v>103</v>
      </c>
    </row>
    <row r="41" spans="1:16" ht="12.75" customHeight="1" thickBot="1" x14ac:dyDescent="0.25">
      <c r="A41" s="19" t="str">
        <f t="shared" si="0"/>
        <v> AHSB 6.2.165 </v>
      </c>
      <c r="B41" s="6" t="str">
        <f t="shared" si="1"/>
        <v>I</v>
      </c>
      <c r="C41" s="19">
        <f t="shared" si="2"/>
        <v>37143.504999999997</v>
      </c>
      <c r="D41" s="21" t="str">
        <f t="shared" si="3"/>
        <v>vis</v>
      </c>
      <c r="E41" s="51">
        <f>VLOOKUP(C41,Active!C$21:E$968,3,FALSE)</f>
        <v>2165.9973676297031</v>
      </c>
      <c r="F41" s="6" t="s">
        <v>59</v>
      </c>
      <c r="G41" s="21" t="str">
        <f t="shared" si="4"/>
        <v>37143.505</v>
      </c>
      <c r="H41" s="19">
        <f t="shared" si="5"/>
        <v>2166</v>
      </c>
      <c r="I41" s="52" t="s">
        <v>144</v>
      </c>
      <c r="J41" s="53" t="s">
        <v>145</v>
      </c>
      <c r="K41" s="52">
        <v>2166</v>
      </c>
      <c r="L41" s="52" t="s">
        <v>146</v>
      </c>
      <c r="M41" s="53" t="s">
        <v>66</v>
      </c>
      <c r="N41" s="53"/>
      <c r="O41" s="54" t="s">
        <v>95</v>
      </c>
      <c r="P41" s="54" t="s">
        <v>103</v>
      </c>
    </row>
    <row r="42" spans="1:16" ht="12.75" customHeight="1" thickBot="1" x14ac:dyDescent="0.25">
      <c r="A42" s="19" t="str">
        <f t="shared" si="0"/>
        <v>BAVM 56 </v>
      </c>
      <c r="B42" s="6" t="str">
        <f t="shared" si="1"/>
        <v>I</v>
      </c>
      <c r="C42" s="19">
        <f t="shared" si="2"/>
        <v>47671.415000000001</v>
      </c>
      <c r="D42" s="21" t="str">
        <f t="shared" si="3"/>
        <v>vis</v>
      </c>
      <c r="E42" s="51">
        <f>VLOOKUP(C42,Active!C$21:E$968,3,FALSE)</f>
        <v>7408.0279416958138</v>
      </c>
      <c r="F42" s="6" t="s">
        <v>59</v>
      </c>
      <c r="G42" s="21" t="str">
        <f t="shared" si="4"/>
        <v>47671.415</v>
      </c>
      <c r="H42" s="19">
        <f t="shared" si="5"/>
        <v>7408</v>
      </c>
      <c r="I42" s="52" t="s">
        <v>147</v>
      </c>
      <c r="J42" s="53" t="s">
        <v>148</v>
      </c>
      <c r="K42" s="52">
        <v>7408</v>
      </c>
      <c r="L42" s="52" t="s">
        <v>149</v>
      </c>
      <c r="M42" s="53" t="s">
        <v>62</v>
      </c>
      <c r="N42" s="53"/>
      <c r="O42" s="54" t="s">
        <v>150</v>
      </c>
      <c r="P42" s="55" t="s">
        <v>151</v>
      </c>
    </row>
    <row r="43" spans="1:16" ht="12.75" customHeight="1" thickBot="1" x14ac:dyDescent="0.25">
      <c r="A43" s="19" t="str">
        <f t="shared" si="0"/>
        <v>IBVS 5809 </v>
      </c>
      <c r="B43" s="6" t="str">
        <f t="shared" si="1"/>
        <v>I</v>
      </c>
      <c r="C43" s="19">
        <f t="shared" si="2"/>
        <v>52595.972000000002</v>
      </c>
      <c r="D43" s="21" t="str">
        <f t="shared" si="3"/>
        <v>vis</v>
      </c>
      <c r="E43" s="51" t="e">
        <f>VLOOKUP(C43,Active!C$21:E$968,3,FALSE)</f>
        <v>#N/A</v>
      </c>
      <c r="F43" s="6" t="s">
        <v>59</v>
      </c>
      <c r="G43" s="21" t="str">
        <f t="shared" si="4"/>
        <v>52595.972</v>
      </c>
      <c r="H43" s="19">
        <f t="shared" si="5"/>
        <v>9860</v>
      </c>
      <c r="I43" s="52" t="s">
        <v>152</v>
      </c>
      <c r="J43" s="53" t="s">
        <v>153</v>
      </c>
      <c r="K43" s="52">
        <v>9860</v>
      </c>
      <c r="L43" s="52" t="s">
        <v>154</v>
      </c>
      <c r="M43" s="53" t="s">
        <v>155</v>
      </c>
      <c r="N43" s="53" t="s">
        <v>59</v>
      </c>
      <c r="O43" s="54" t="s">
        <v>156</v>
      </c>
      <c r="P43" s="55" t="s">
        <v>157</v>
      </c>
    </row>
    <row r="44" spans="1:16" ht="12.75" customHeight="1" thickBot="1" x14ac:dyDescent="0.25">
      <c r="A44" s="19" t="str">
        <f t="shared" si="0"/>
        <v>IBVS 5809 </v>
      </c>
      <c r="B44" s="6" t="str">
        <f t="shared" si="1"/>
        <v>I</v>
      </c>
      <c r="C44" s="19">
        <f t="shared" si="2"/>
        <v>52606.017999999996</v>
      </c>
      <c r="D44" s="21" t="str">
        <f t="shared" si="3"/>
        <v>vis</v>
      </c>
      <c r="E44" s="51" t="e">
        <f>VLOOKUP(C44,Active!C$21:E$968,3,FALSE)</f>
        <v>#N/A</v>
      </c>
      <c r="F44" s="6" t="s">
        <v>59</v>
      </c>
      <c r="G44" s="21" t="str">
        <f t="shared" si="4"/>
        <v>52606.018</v>
      </c>
      <c r="H44" s="19">
        <f t="shared" si="5"/>
        <v>9865</v>
      </c>
      <c r="I44" s="52" t="s">
        <v>158</v>
      </c>
      <c r="J44" s="53" t="s">
        <v>159</v>
      </c>
      <c r="K44" s="52">
        <v>9865</v>
      </c>
      <c r="L44" s="52" t="s">
        <v>160</v>
      </c>
      <c r="M44" s="53" t="s">
        <v>155</v>
      </c>
      <c r="N44" s="53" t="s">
        <v>59</v>
      </c>
      <c r="O44" s="54" t="s">
        <v>156</v>
      </c>
      <c r="P44" s="55" t="s">
        <v>157</v>
      </c>
    </row>
    <row r="45" spans="1:16" ht="12.75" customHeight="1" thickBot="1" x14ac:dyDescent="0.25">
      <c r="A45" s="19" t="str">
        <f t="shared" si="0"/>
        <v>IBVS 5809 </v>
      </c>
      <c r="B45" s="6" t="str">
        <f t="shared" si="1"/>
        <v>I</v>
      </c>
      <c r="C45" s="19">
        <f t="shared" si="2"/>
        <v>52608.025699999998</v>
      </c>
      <c r="D45" s="21" t="str">
        <f t="shared" si="3"/>
        <v>vis</v>
      </c>
      <c r="E45" s="51" t="e">
        <f>VLOOKUP(C45,Active!C$21:E$968,3,FALSE)</f>
        <v>#N/A</v>
      </c>
      <c r="F45" s="6" t="s">
        <v>59</v>
      </c>
      <c r="G45" s="21" t="str">
        <f t="shared" si="4"/>
        <v>52608.0257</v>
      </c>
      <c r="H45" s="19">
        <f t="shared" si="5"/>
        <v>9866</v>
      </c>
      <c r="I45" s="52" t="s">
        <v>161</v>
      </c>
      <c r="J45" s="53" t="s">
        <v>162</v>
      </c>
      <c r="K45" s="52">
        <v>9866</v>
      </c>
      <c r="L45" s="52" t="s">
        <v>163</v>
      </c>
      <c r="M45" s="53" t="s">
        <v>155</v>
      </c>
      <c r="N45" s="53" t="s">
        <v>59</v>
      </c>
      <c r="O45" s="54" t="s">
        <v>156</v>
      </c>
      <c r="P45" s="55" t="s">
        <v>157</v>
      </c>
    </row>
    <row r="46" spans="1:16" ht="12.75" customHeight="1" thickBot="1" x14ac:dyDescent="0.25">
      <c r="A46" s="19" t="str">
        <f t="shared" si="0"/>
        <v>IBVS 5809 </v>
      </c>
      <c r="B46" s="6" t="str">
        <f t="shared" si="1"/>
        <v>I</v>
      </c>
      <c r="C46" s="19">
        <f t="shared" si="2"/>
        <v>52610.036</v>
      </c>
      <c r="D46" s="21" t="str">
        <f t="shared" si="3"/>
        <v>vis</v>
      </c>
      <c r="E46" s="51" t="e">
        <f>VLOOKUP(C46,Active!C$21:E$968,3,FALSE)</f>
        <v>#N/A</v>
      </c>
      <c r="F46" s="6" t="s">
        <v>59</v>
      </c>
      <c r="G46" s="21" t="str">
        <f t="shared" si="4"/>
        <v>52610.036</v>
      </c>
      <c r="H46" s="19">
        <f t="shared" si="5"/>
        <v>9867</v>
      </c>
      <c r="I46" s="52" t="s">
        <v>164</v>
      </c>
      <c r="J46" s="53" t="s">
        <v>165</v>
      </c>
      <c r="K46" s="52">
        <v>9867</v>
      </c>
      <c r="L46" s="52" t="s">
        <v>166</v>
      </c>
      <c r="M46" s="53" t="s">
        <v>155</v>
      </c>
      <c r="N46" s="53" t="s">
        <v>59</v>
      </c>
      <c r="O46" s="54" t="s">
        <v>156</v>
      </c>
      <c r="P46" s="55" t="s">
        <v>157</v>
      </c>
    </row>
    <row r="47" spans="1:16" ht="12.75" customHeight="1" thickBot="1" x14ac:dyDescent="0.25">
      <c r="A47" s="19" t="str">
        <f t="shared" si="0"/>
        <v>IBVS 5809 </v>
      </c>
      <c r="B47" s="6" t="str">
        <f t="shared" si="1"/>
        <v>I</v>
      </c>
      <c r="C47" s="19">
        <f t="shared" si="2"/>
        <v>52612.047400000003</v>
      </c>
      <c r="D47" s="21" t="str">
        <f t="shared" si="3"/>
        <v>vis</v>
      </c>
      <c r="E47" s="51" t="e">
        <f>VLOOKUP(C47,Active!C$21:E$968,3,FALSE)</f>
        <v>#N/A</v>
      </c>
      <c r="F47" s="6" t="s">
        <v>59</v>
      </c>
      <c r="G47" s="21" t="str">
        <f t="shared" si="4"/>
        <v>52612.0474</v>
      </c>
      <c r="H47" s="19">
        <f t="shared" si="5"/>
        <v>9868</v>
      </c>
      <c r="I47" s="52" t="s">
        <v>167</v>
      </c>
      <c r="J47" s="53" t="s">
        <v>168</v>
      </c>
      <c r="K47" s="52">
        <v>9868</v>
      </c>
      <c r="L47" s="52" t="s">
        <v>169</v>
      </c>
      <c r="M47" s="53" t="s">
        <v>155</v>
      </c>
      <c r="N47" s="53" t="s">
        <v>59</v>
      </c>
      <c r="O47" s="54" t="s">
        <v>156</v>
      </c>
      <c r="P47" s="55" t="s">
        <v>157</v>
      </c>
    </row>
    <row r="48" spans="1:16" ht="12.75" customHeight="1" thickBot="1" x14ac:dyDescent="0.25">
      <c r="A48" s="19" t="str">
        <f t="shared" si="0"/>
        <v> BBS 133 (=IBVS 5781) </v>
      </c>
      <c r="B48" s="6" t="str">
        <f t="shared" si="1"/>
        <v>I</v>
      </c>
      <c r="C48" s="19">
        <f t="shared" si="2"/>
        <v>53919.504999999997</v>
      </c>
      <c r="D48" s="21" t="str">
        <f t="shared" si="3"/>
        <v>vis</v>
      </c>
      <c r="E48" s="51">
        <f>VLOOKUP(C48,Active!C$21:E$968,3,FALSE)</f>
        <v>10519.061262603449</v>
      </c>
      <c r="F48" s="6" t="s">
        <v>59</v>
      </c>
      <c r="G48" s="21" t="str">
        <f t="shared" si="4"/>
        <v>53919.5050</v>
      </c>
      <c r="H48" s="19">
        <f t="shared" si="5"/>
        <v>10519</v>
      </c>
      <c r="I48" s="52" t="s">
        <v>194</v>
      </c>
      <c r="J48" s="53" t="s">
        <v>195</v>
      </c>
      <c r="K48" s="52" t="s">
        <v>196</v>
      </c>
      <c r="L48" s="52" t="s">
        <v>197</v>
      </c>
      <c r="M48" s="53" t="s">
        <v>155</v>
      </c>
      <c r="N48" s="53" t="s">
        <v>59</v>
      </c>
      <c r="O48" s="54" t="s">
        <v>198</v>
      </c>
      <c r="P48" s="54" t="s">
        <v>199</v>
      </c>
    </row>
    <row r="49" spans="1:16" ht="12.75" customHeight="1" thickBot="1" x14ac:dyDescent="0.25">
      <c r="A49" s="19" t="str">
        <f t="shared" si="0"/>
        <v>BAVM 193 </v>
      </c>
      <c r="B49" s="6" t="str">
        <f t="shared" si="1"/>
        <v>I</v>
      </c>
      <c r="C49" s="19">
        <f t="shared" si="2"/>
        <v>54365.363599999997</v>
      </c>
      <c r="D49" s="21" t="str">
        <f t="shared" si="3"/>
        <v>vis</v>
      </c>
      <c r="E49" s="51">
        <f>VLOOKUP(C49,Active!C$21:E$968,3,FALSE)</f>
        <v>10741.062059809192</v>
      </c>
      <c r="F49" s="6" t="s">
        <v>59</v>
      </c>
      <c r="G49" s="21" t="str">
        <f t="shared" si="4"/>
        <v>54365.3636</v>
      </c>
      <c r="H49" s="19">
        <f t="shared" si="5"/>
        <v>10741</v>
      </c>
      <c r="I49" s="52" t="s">
        <v>200</v>
      </c>
      <c r="J49" s="53" t="s">
        <v>201</v>
      </c>
      <c r="K49" s="52" t="s">
        <v>202</v>
      </c>
      <c r="L49" s="52" t="s">
        <v>203</v>
      </c>
      <c r="M49" s="53" t="s">
        <v>155</v>
      </c>
      <c r="N49" s="53" t="s">
        <v>173</v>
      </c>
      <c r="O49" s="54" t="s">
        <v>189</v>
      </c>
      <c r="P49" s="55" t="s">
        <v>204</v>
      </c>
    </row>
    <row r="50" spans="1:16" ht="12.75" customHeight="1" thickBot="1" x14ac:dyDescent="0.25">
      <c r="A50" s="19" t="str">
        <f t="shared" si="0"/>
        <v>BAVM 193 </v>
      </c>
      <c r="B50" s="6" t="str">
        <f t="shared" si="1"/>
        <v>I</v>
      </c>
      <c r="C50" s="19">
        <f t="shared" si="2"/>
        <v>54367.379099999998</v>
      </c>
      <c r="D50" s="21" t="str">
        <f t="shared" si="3"/>
        <v>vis</v>
      </c>
      <c r="E50" s="51">
        <f>VLOOKUP(C50,Active!C$21:E$968,3,FALSE)</f>
        <v>10742.065612520226</v>
      </c>
      <c r="F50" s="6" t="s">
        <v>59</v>
      </c>
      <c r="G50" s="21" t="str">
        <f t="shared" si="4"/>
        <v>54367.3791</v>
      </c>
      <c r="H50" s="19">
        <f t="shared" si="5"/>
        <v>10742</v>
      </c>
      <c r="I50" s="52" t="s">
        <v>205</v>
      </c>
      <c r="J50" s="53" t="s">
        <v>206</v>
      </c>
      <c r="K50" s="52" t="s">
        <v>207</v>
      </c>
      <c r="L50" s="52" t="s">
        <v>208</v>
      </c>
      <c r="M50" s="53" t="s">
        <v>155</v>
      </c>
      <c r="N50" s="53" t="s">
        <v>173</v>
      </c>
      <c r="O50" s="54" t="s">
        <v>150</v>
      </c>
      <c r="P50" s="55" t="s">
        <v>204</v>
      </c>
    </row>
    <row r="51" spans="1:16" ht="12.75" customHeight="1" thickBot="1" x14ac:dyDescent="0.25">
      <c r="A51" s="19" t="str">
        <f t="shared" si="0"/>
        <v>BAVM 212 </v>
      </c>
      <c r="B51" s="6" t="str">
        <f t="shared" si="1"/>
        <v>I</v>
      </c>
      <c r="C51" s="19">
        <f t="shared" si="2"/>
        <v>55096.4211</v>
      </c>
      <c r="D51" s="21" t="str">
        <f t="shared" si="3"/>
        <v>vis</v>
      </c>
      <c r="E51" s="51">
        <f>VLOOKUP(C51,Active!C$21:E$968,3,FALSE)</f>
        <v>11105.068378860204</v>
      </c>
      <c r="F51" s="6" t="s">
        <v>59</v>
      </c>
      <c r="G51" s="21" t="str">
        <f t="shared" si="4"/>
        <v>55096.4211</v>
      </c>
      <c r="H51" s="19">
        <f t="shared" si="5"/>
        <v>11105</v>
      </c>
      <c r="I51" s="52" t="s">
        <v>209</v>
      </c>
      <c r="J51" s="53" t="s">
        <v>210</v>
      </c>
      <c r="K51" s="52" t="s">
        <v>211</v>
      </c>
      <c r="L51" s="52" t="s">
        <v>212</v>
      </c>
      <c r="M51" s="53" t="s">
        <v>155</v>
      </c>
      <c r="N51" s="53" t="s">
        <v>173</v>
      </c>
      <c r="O51" s="54" t="s">
        <v>189</v>
      </c>
      <c r="P51" s="55" t="s">
        <v>213</v>
      </c>
    </row>
    <row r="52" spans="1:16" ht="12.75" customHeight="1" thickBot="1" x14ac:dyDescent="0.25">
      <c r="A52" s="19" t="str">
        <f t="shared" si="0"/>
        <v>BAVM 214 </v>
      </c>
      <c r="B52" s="6" t="str">
        <f t="shared" si="1"/>
        <v>I</v>
      </c>
      <c r="C52" s="19">
        <f t="shared" si="2"/>
        <v>55359.516799999998</v>
      </c>
      <c r="D52" s="21" t="str">
        <f t="shared" si="3"/>
        <v>vis</v>
      </c>
      <c r="E52" s="51">
        <f>VLOOKUP(C52,Active!C$21:E$968,3,FALSE)</f>
        <v>11236.068330731498</v>
      </c>
      <c r="F52" s="6" t="s">
        <v>59</v>
      </c>
      <c r="G52" s="21" t="str">
        <f t="shared" si="4"/>
        <v>55359.5168</v>
      </c>
      <c r="H52" s="19">
        <f t="shared" si="5"/>
        <v>11236</v>
      </c>
      <c r="I52" s="52" t="s">
        <v>214</v>
      </c>
      <c r="J52" s="53" t="s">
        <v>215</v>
      </c>
      <c r="K52" s="52" t="s">
        <v>216</v>
      </c>
      <c r="L52" s="52" t="s">
        <v>217</v>
      </c>
      <c r="M52" s="53" t="s">
        <v>155</v>
      </c>
      <c r="N52" s="53" t="s">
        <v>173</v>
      </c>
      <c r="O52" s="54" t="s">
        <v>189</v>
      </c>
      <c r="P52" s="55" t="s">
        <v>218</v>
      </c>
    </row>
    <row r="53" spans="1:16" ht="12.75" customHeight="1" thickBot="1" x14ac:dyDescent="0.25">
      <c r="A53" s="19" t="str">
        <f t="shared" si="0"/>
        <v>BAVM 225 </v>
      </c>
      <c r="B53" s="6" t="str">
        <f t="shared" si="1"/>
        <v>I</v>
      </c>
      <c r="C53" s="19">
        <f t="shared" si="2"/>
        <v>55801.3626</v>
      </c>
      <c r="D53" s="21" t="str">
        <f t="shared" si="3"/>
        <v>vis</v>
      </c>
      <c r="E53" s="51">
        <f>VLOOKUP(C53,Active!C$21:E$968,3,FALSE)</f>
        <v>11456.071084613581</v>
      </c>
      <c r="F53" s="6" t="s">
        <v>59</v>
      </c>
      <c r="G53" s="21" t="str">
        <f t="shared" si="4"/>
        <v>55801.3626</v>
      </c>
      <c r="H53" s="19">
        <f t="shared" si="5"/>
        <v>11456</v>
      </c>
      <c r="I53" s="52" t="s">
        <v>219</v>
      </c>
      <c r="J53" s="53" t="s">
        <v>220</v>
      </c>
      <c r="K53" s="52" t="s">
        <v>221</v>
      </c>
      <c r="L53" s="52" t="s">
        <v>222</v>
      </c>
      <c r="M53" s="53" t="s">
        <v>155</v>
      </c>
      <c r="N53" s="53" t="s">
        <v>173</v>
      </c>
      <c r="O53" s="54" t="s">
        <v>189</v>
      </c>
      <c r="P53" s="55" t="s">
        <v>223</v>
      </c>
    </row>
    <row r="54" spans="1:16" ht="12.75" customHeight="1" thickBot="1" x14ac:dyDescent="0.25">
      <c r="A54" s="19" t="str">
        <f t="shared" si="0"/>
        <v>BAVM 231 </v>
      </c>
      <c r="B54" s="6" t="str">
        <f t="shared" si="1"/>
        <v>I</v>
      </c>
      <c r="C54" s="19">
        <f t="shared" si="2"/>
        <v>56074.500999999997</v>
      </c>
      <c r="D54" s="21" t="str">
        <f t="shared" si="3"/>
        <v>vis</v>
      </c>
      <c r="E54" s="51">
        <f>VLOOKUP(C54,Active!C$21:E$968,3,FALSE)</f>
        <v>11592.071472511223</v>
      </c>
      <c r="F54" s="6" t="s">
        <v>59</v>
      </c>
      <c r="G54" s="21" t="str">
        <f t="shared" si="4"/>
        <v>56074.5010</v>
      </c>
      <c r="H54" s="19">
        <f t="shared" si="5"/>
        <v>11592</v>
      </c>
      <c r="I54" s="52" t="s">
        <v>224</v>
      </c>
      <c r="J54" s="53" t="s">
        <v>225</v>
      </c>
      <c r="K54" s="52" t="s">
        <v>226</v>
      </c>
      <c r="L54" s="52" t="s">
        <v>227</v>
      </c>
      <c r="M54" s="53" t="s">
        <v>155</v>
      </c>
      <c r="N54" s="53" t="s">
        <v>173</v>
      </c>
      <c r="O54" s="54" t="s">
        <v>189</v>
      </c>
      <c r="P54" s="55" t="s">
        <v>228</v>
      </c>
    </row>
    <row r="55" spans="1:16" x14ac:dyDescent="0.2">
      <c r="B55" s="6"/>
      <c r="F55" s="6"/>
    </row>
    <row r="56" spans="1:16" x14ac:dyDescent="0.2">
      <c r="B56" s="6"/>
      <c r="F56" s="6"/>
    </row>
    <row r="57" spans="1:16" x14ac:dyDescent="0.2">
      <c r="B57" s="6"/>
      <c r="F57" s="6"/>
    </row>
    <row r="58" spans="1:16" x14ac:dyDescent="0.2">
      <c r="B58" s="6"/>
      <c r="F58" s="6"/>
    </row>
    <row r="59" spans="1:16" x14ac:dyDescent="0.2">
      <c r="B59" s="6"/>
      <c r="F59" s="6"/>
    </row>
    <row r="60" spans="1:16" x14ac:dyDescent="0.2">
      <c r="B60" s="6"/>
      <c r="F60" s="6"/>
    </row>
    <row r="61" spans="1:16" x14ac:dyDescent="0.2">
      <c r="B61" s="6"/>
      <c r="F61" s="6"/>
    </row>
    <row r="62" spans="1:16" x14ac:dyDescent="0.2">
      <c r="B62" s="6"/>
      <c r="F62" s="6"/>
    </row>
    <row r="63" spans="1:16" x14ac:dyDescent="0.2">
      <c r="B63" s="6"/>
      <c r="F63" s="6"/>
    </row>
    <row r="64" spans="1:1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</sheetData>
  <phoneticPr fontId="7" type="noConversion"/>
  <hyperlinks>
    <hyperlink ref="P42" r:id="rId1" display="http://www.bav-astro.de/sfs/BAVM_link.php?BAVMnr=56" xr:uid="{00000000-0004-0000-0100-000000000000}"/>
    <hyperlink ref="P43" r:id="rId2" display="http://www.konkoly.hu/cgi-bin/IBVS?5809" xr:uid="{00000000-0004-0000-0100-000001000000}"/>
    <hyperlink ref="P44" r:id="rId3" display="http://www.konkoly.hu/cgi-bin/IBVS?5809" xr:uid="{00000000-0004-0000-0100-000002000000}"/>
    <hyperlink ref="P45" r:id="rId4" display="http://www.konkoly.hu/cgi-bin/IBVS?5809" xr:uid="{00000000-0004-0000-0100-000003000000}"/>
    <hyperlink ref="P46" r:id="rId5" display="http://www.konkoly.hu/cgi-bin/IBVS?5809" xr:uid="{00000000-0004-0000-0100-000004000000}"/>
    <hyperlink ref="P47" r:id="rId6" display="http://www.konkoly.hu/cgi-bin/IBVS?5809" xr:uid="{00000000-0004-0000-0100-000005000000}"/>
    <hyperlink ref="P11" r:id="rId7" display="http://www.bav-astro.de/sfs/BAVM_link.php?BAVMnr=178" xr:uid="{00000000-0004-0000-0100-000006000000}"/>
    <hyperlink ref="P12" r:id="rId8" display="http://www.bav-astro.de/sfs/BAVM_link.php?BAVMnr=178" xr:uid="{00000000-0004-0000-0100-000007000000}"/>
    <hyperlink ref="P13" r:id="rId9" display="http://www.bav-astro.de/sfs/BAVM_link.php?BAVMnr=178" xr:uid="{00000000-0004-0000-0100-000008000000}"/>
    <hyperlink ref="P14" r:id="rId10" display="http://www.bav-astro.de/sfs/BAVM_link.php?BAVMnr=178" xr:uid="{00000000-0004-0000-0100-000009000000}"/>
    <hyperlink ref="P15" r:id="rId11" display="http://www.bav-astro.de/sfs/BAVM_link.php?BAVMnr=178" xr:uid="{00000000-0004-0000-0100-00000A000000}"/>
    <hyperlink ref="P49" r:id="rId12" display="http://www.bav-astro.de/sfs/BAVM_link.php?BAVMnr=193" xr:uid="{00000000-0004-0000-0100-00000B000000}"/>
    <hyperlink ref="P50" r:id="rId13" display="http://www.bav-astro.de/sfs/BAVM_link.php?BAVMnr=193" xr:uid="{00000000-0004-0000-0100-00000C000000}"/>
    <hyperlink ref="P51" r:id="rId14" display="http://www.bav-astro.de/sfs/BAVM_link.php?BAVMnr=212" xr:uid="{00000000-0004-0000-0100-00000D000000}"/>
    <hyperlink ref="P52" r:id="rId15" display="http://www.bav-astro.de/sfs/BAVM_link.php?BAVMnr=214" xr:uid="{00000000-0004-0000-0100-00000E000000}"/>
    <hyperlink ref="P53" r:id="rId16" display="http://www.bav-astro.de/sfs/BAVM_link.php?BAVMnr=225" xr:uid="{00000000-0004-0000-0100-00000F000000}"/>
    <hyperlink ref="P54" r:id="rId17" display="http://www.bav-astro.de/sfs/BAVM_link.php?BAVMnr=231" xr:uid="{00000000-0004-0000-0100-000010000000}"/>
  </hyperlinks>
  <pageMargins left="0.75" right="0.75" top="1" bottom="1" header="0.5" footer="0.5"/>
  <pageSetup orientation="portrait" horizontalDpi="300" verticalDpi="300" r:id="rId1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workbookViewId="0">
      <selection activeCell="A29" sqref="A2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26</v>
      </c>
      <c r="B2" t="s">
        <v>36</v>
      </c>
      <c r="C2" s="6"/>
      <c r="D2" s="6"/>
    </row>
    <row r="3" spans="1:7" ht="13.5" thickBot="1" x14ac:dyDescent="0.25"/>
    <row r="4" spans="1:7" ht="14.25" thickTop="1" thickBot="1" x14ac:dyDescent="0.25">
      <c r="A4" s="8" t="s">
        <v>0</v>
      </c>
      <c r="C4" s="13">
        <v>32793.392</v>
      </c>
      <c r="D4" s="14">
        <v>2.0083648599999999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32793.392</v>
      </c>
    </row>
    <row r="8" spans="1:7" x14ac:dyDescent="0.2">
      <c r="A8" t="s">
        <v>3</v>
      </c>
      <c r="C8">
        <f>+D4</f>
        <v>2.0083648599999999</v>
      </c>
    </row>
    <row r="9" spans="1:7" x14ac:dyDescent="0.2">
      <c r="A9" s="20" t="s">
        <v>37</v>
      </c>
      <c r="B9" s="21"/>
      <c r="C9" s="22">
        <v>8</v>
      </c>
      <c r="D9" s="21" t="s">
        <v>38</v>
      </c>
      <c r="E9" s="21"/>
    </row>
    <row r="10" spans="1:7" ht="13.5" thickBot="1" x14ac:dyDescent="0.25">
      <c r="A10" s="21"/>
      <c r="B10" s="21"/>
      <c r="C10" s="7" t="s">
        <v>21</v>
      </c>
      <c r="D10" s="7" t="s">
        <v>22</v>
      </c>
      <c r="E10" s="21"/>
    </row>
    <row r="11" spans="1:7" x14ac:dyDescent="0.2">
      <c r="A11" s="21" t="s">
        <v>16</v>
      </c>
      <c r="B11" s="21"/>
      <c r="C11" s="31">
        <f ca="1">INTERCEPT(INDIRECT($G$11):G986,INDIRECT($F$11):F986)</f>
        <v>-7.8922550034826261E-2</v>
      </c>
      <c r="D11" s="6"/>
      <c r="E11" s="21"/>
      <c r="F11" s="32" t="str">
        <f>"F"&amp;E19</f>
        <v>F21</v>
      </c>
      <c r="G11" s="33" t="str">
        <f>"G"&amp;E19</f>
        <v>G21</v>
      </c>
    </row>
    <row r="12" spans="1:7" x14ac:dyDescent="0.2">
      <c r="A12" s="21" t="s">
        <v>17</v>
      </c>
      <c r="B12" s="21"/>
      <c r="C12" s="31">
        <f ca="1">SLOPE(INDIRECT($G$11):G986,INDIRECT($F$11):F986)</f>
        <v>1.9209560982917073E-5</v>
      </c>
      <c r="D12" s="6"/>
      <c r="E12" s="21"/>
    </row>
    <row r="13" spans="1:7" x14ac:dyDescent="0.2">
      <c r="A13" s="21" t="s">
        <v>20</v>
      </c>
      <c r="B13" s="21"/>
      <c r="C13" s="6" t="s">
        <v>14</v>
      </c>
      <c r="D13" s="24" t="s">
        <v>45</v>
      </c>
      <c r="E13" s="22">
        <v>1</v>
      </c>
    </row>
    <row r="14" spans="1:7" x14ac:dyDescent="0.2">
      <c r="A14" s="21"/>
      <c r="B14" s="21"/>
      <c r="C14" s="21"/>
      <c r="D14" s="24" t="s">
        <v>39</v>
      </c>
      <c r="E14" s="25">
        <f ca="1">NOW()+15018.5+$C$9/24</f>
        <v>60340.513221527777</v>
      </c>
    </row>
    <row r="15" spans="1:7" x14ac:dyDescent="0.2">
      <c r="A15" s="23" t="s">
        <v>18</v>
      </c>
      <c r="B15" s="21"/>
      <c r="C15" s="11">
        <f ca="1">(C7+C11)+(C8+C12)*INT(MAX(F21:F3527))</f>
        <v>56074.501211800874</v>
      </c>
      <c r="D15" s="24" t="s">
        <v>46</v>
      </c>
      <c r="E15" s="25">
        <f ca="1">ROUND(2*(E14-$C$7)/$C$8,0)/2+E13</f>
        <v>13717</v>
      </c>
    </row>
    <row r="16" spans="1:7" x14ac:dyDescent="0.2">
      <c r="A16" s="26" t="s">
        <v>4</v>
      </c>
      <c r="B16" s="21"/>
      <c r="C16" s="12">
        <f ca="1">+C8+C12</f>
        <v>2.0083840695609827</v>
      </c>
      <c r="D16" s="24" t="s">
        <v>40</v>
      </c>
      <c r="E16" s="33">
        <f ca="1">ROUND(2*(E14-$C$15)/$C$16,0)/2+E13</f>
        <v>2125</v>
      </c>
    </row>
    <row r="17" spans="1:17" ht="13.5" thickBot="1" x14ac:dyDescent="0.25">
      <c r="A17" s="24" t="s">
        <v>33</v>
      </c>
      <c r="B17" s="21"/>
      <c r="C17" s="21">
        <f>COUNT(C21:C2185)</f>
        <v>4</v>
      </c>
      <c r="D17" s="24" t="s">
        <v>41</v>
      </c>
      <c r="E17" s="27">
        <f ca="1">+$C$15+$C$16*E16-15018.5-$C$9/24</f>
        <v>45323.484026284626</v>
      </c>
    </row>
    <row r="18" spans="1:17" ht="14.25" thickTop="1" thickBot="1" x14ac:dyDescent="0.25">
      <c r="A18" s="26" t="s">
        <v>5</v>
      </c>
      <c r="B18" s="21"/>
      <c r="C18" s="28">
        <f ca="1">+C15</f>
        <v>56074.501211800874</v>
      </c>
      <c r="D18" s="29">
        <f ca="1">+C16</f>
        <v>2.0083840695609827</v>
      </c>
      <c r="E18" s="30" t="s">
        <v>42</v>
      </c>
    </row>
    <row r="19" spans="1:17" ht="13.5" thickTop="1" x14ac:dyDescent="0.2">
      <c r="A19" s="34" t="s">
        <v>47</v>
      </c>
      <c r="E19" s="35">
        <v>21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 x14ac:dyDescent="0.2">
      <c r="A21" s="36" t="s">
        <v>12</v>
      </c>
      <c r="B21" s="36"/>
      <c r="C21" s="37">
        <v>32793.392</v>
      </c>
      <c r="D21" s="37" t="s">
        <v>14</v>
      </c>
      <c r="E21">
        <f>+(C21-C$7)/C$8</f>
        <v>0</v>
      </c>
      <c r="F21">
        <f>ROUND(2*E21,0)/2</f>
        <v>0</v>
      </c>
      <c r="Q21" s="2">
        <f>+C21-15018.5</f>
        <v>17774.892</v>
      </c>
    </row>
    <row r="22" spans="1:17" x14ac:dyDescent="0.2">
      <c r="A22" s="38" t="s">
        <v>43</v>
      </c>
      <c r="B22" s="39" t="s">
        <v>44</v>
      </c>
      <c r="C22" s="38">
        <v>53919.504999999997</v>
      </c>
      <c r="D22" s="38">
        <v>6.9999999999999999E-4</v>
      </c>
      <c r="E22">
        <f>+(C22-C$7)/C$8</f>
        <v>10519.061262603449</v>
      </c>
      <c r="F22">
        <f>ROUND(2*E22,0)/2</f>
        <v>10519</v>
      </c>
      <c r="G22">
        <f>+C22-(C$7+F22*C$8)</f>
        <v>0.12303765999968164</v>
      </c>
      <c r="I22">
        <f>+G22</f>
        <v>0.12303765999968164</v>
      </c>
      <c r="O22">
        <f ca="1">+C$11+C$12*$F22</f>
        <v>0.12314282194447843</v>
      </c>
      <c r="Q22" s="2">
        <f>+C22-15018.5</f>
        <v>38901.004999999997</v>
      </c>
    </row>
    <row r="23" spans="1:17" x14ac:dyDescent="0.2">
      <c r="A23" s="38" t="s">
        <v>48</v>
      </c>
      <c r="B23" s="39" t="s">
        <v>44</v>
      </c>
      <c r="C23" s="38">
        <v>55359.516799999998</v>
      </c>
      <c r="D23" s="38">
        <v>2.9999999999999997E-4</v>
      </c>
      <c r="E23">
        <f>+(C23-C$7)/C$8</f>
        <v>11236.068330731498</v>
      </c>
      <c r="F23">
        <f>ROUND(2*E23,0)/2</f>
        <v>11236</v>
      </c>
      <c r="G23">
        <f>+C23-(C$7+F23*C$8)</f>
        <v>0.13723303999722702</v>
      </c>
      <c r="I23">
        <f>+G23</f>
        <v>0.13723303999722702</v>
      </c>
      <c r="O23">
        <f ca="1">+C$11+C$12*$F23</f>
        <v>0.13691607716922996</v>
      </c>
      <c r="Q23" s="2">
        <f>+C23-15018.5</f>
        <v>40341.016799999998</v>
      </c>
    </row>
    <row r="24" spans="1:17" x14ac:dyDescent="0.2">
      <c r="A24" s="40" t="s">
        <v>49</v>
      </c>
      <c r="B24" s="41" t="s">
        <v>44</v>
      </c>
      <c r="C24" s="42">
        <v>56074.500999999997</v>
      </c>
      <c r="D24" s="42">
        <v>2.7000000000000001E-3</v>
      </c>
      <c r="E24">
        <f>+(C24-C$7)/C$8</f>
        <v>11592.071472511223</v>
      </c>
      <c r="F24">
        <f>ROUND(2*E24,0)/2</f>
        <v>11592</v>
      </c>
      <c r="G24">
        <f>+C24-(C$7+F24*C$8)</f>
        <v>0.14354287999594817</v>
      </c>
      <c r="I24">
        <f>+G24</f>
        <v>0.14354287999594817</v>
      </c>
      <c r="O24">
        <f ca="1">+C$11+C$12*$F24</f>
        <v>0.14375468087914844</v>
      </c>
      <c r="Q24" s="2">
        <f>+C24-15018.5</f>
        <v>41056.000999999997</v>
      </c>
    </row>
    <row r="25" spans="1:17" x14ac:dyDescent="0.2">
      <c r="C25" s="19"/>
      <c r="D25" s="19"/>
      <c r="Q25" s="2"/>
    </row>
    <row r="26" spans="1:17" x14ac:dyDescent="0.2">
      <c r="C26" s="19"/>
      <c r="D26" s="19"/>
      <c r="Q26" s="2"/>
    </row>
    <row r="27" spans="1:17" x14ac:dyDescent="0.2">
      <c r="C27" s="19"/>
      <c r="D27" s="19"/>
      <c r="Q27" s="2"/>
    </row>
    <row r="28" spans="1:17" x14ac:dyDescent="0.2">
      <c r="C28" s="19"/>
      <c r="D28" s="19"/>
    </row>
    <row r="29" spans="1:17" x14ac:dyDescent="0.2">
      <c r="C29" s="19"/>
      <c r="D29" s="19"/>
    </row>
    <row r="30" spans="1:17" x14ac:dyDescent="0.2">
      <c r="C30" s="19"/>
      <c r="D30" s="19"/>
    </row>
    <row r="31" spans="1:17" x14ac:dyDescent="0.2">
      <c r="D31" s="6"/>
    </row>
    <row r="32" spans="1:17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2024-01-30T05:49:02Z</dcterms:modified>
</cp:coreProperties>
</file>