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E059DF4-D5C3-4FF6-B901-91404C87BE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0" i="1" l="1"/>
  <c r="D9" i="1"/>
  <c r="C9" i="1"/>
  <c r="Q42" i="1"/>
  <c r="Q21" i="1"/>
  <c r="G38" i="2"/>
  <c r="C38" i="2"/>
  <c r="G37" i="2"/>
  <c r="C37" i="2"/>
  <c r="G36" i="2"/>
  <c r="C36" i="2"/>
  <c r="G41" i="2"/>
  <c r="C41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40" i="2"/>
  <c r="C40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9" i="2"/>
  <c r="C39" i="2"/>
  <c r="H38" i="2"/>
  <c r="B38" i="2"/>
  <c r="D38" i="2"/>
  <c r="A38" i="2"/>
  <c r="H37" i="2"/>
  <c r="B37" i="2"/>
  <c r="D37" i="2"/>
  <c r="A37" i="2"/>
  <c r="H36" i="2"/>
  <c r="B36" i="2"/>
  <c r="D36" i="2"/>
  <c r="A36" i="2"/>
  <c r="H41" i="2"/>
  <c r="B41" i="2"/>
  <c r="D41" i="2"/>
  <c r="A41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40" i="2"/>
  <c r="B40" i="2"/>
  <c r="D40" i="2"/>
  <c r="A40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9" i="2"/>
  <c r="B39" i="2"/>
  <c r="D39" i="2"/>
  <c r="A39" i="2"/>
  <c r="Q51" i="1"/>
  <c r="Q53" i="1"/>
  <c r="Q52" i="1"/>
  <c r="F16" i="1"/>
  <c r="F17" i="1" s="1"/>
  <c r="C17" i="1"/>
  <c r="Q49" i="1"/>
  <c r="Q48" i="1"/>
  <c r="Q47" i="1"/>
  <c r="Q22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3" i="1"/>
  <c r="Q44" i="1"/>
  <c r="Q45" i="1"/>
  <c r="Q46" i="1"/>
  <c r="C7" i="1"/>
  <c r="E26" i="1"/>
  <c r="F26" i="1"/>
  <c r="G26" i="1"/>
  <c r="I26" i="1"/>
  <c r="C8" i="1"/>
  <c r="E24" i="1"/>
  <c r="F24" i="1"/>
  <c r="Q30" i="1"/>
  <c r="E12" i="2"/>
  <c r="E13" i="2"/>
  <c r="E30" i="2"/>
  <c r="E15" i="2"/>
  <c r="E31" i="2"/>
  <c r="E48" i="1"/>
  <c r="F48" i="1"/>
  <c r="G41" i="1"/>
  <c r="I41" i="1"/>
  <c r="E39" i="1"/>
  <c r="F39" i="1"/>
  <c r="E31" i="1"/>
  <c r="F31" i="1"/>
  <c r="G31" i="1"/>
  <c r="I31" i="1"/>
  <c r="E23" i="1"/>
  <c r="F23" i="1"/>
  <c r="G23" i="1"/>
  <c r="I23" i="1"/>
  <c r="E50" i="1"/>
  <c r="F50" i="1"/>
  <c r="E45" i="1"/>
  <c r="F45" i="1"/>
  <c r="E36" i="1"/>
  <c r="F36" i="1"/>
  <c r="E28" i="1"/>
  <c r="F28" i="1"/>
  <c r="G53" i="1"/>
  <c r="J53" i="1"/>
  <c r="E51" i="1"/>
  <c r="F51" i="1"/>
  <c r="G51" i="1"/>
  <c r="J51" i="1"/>
  <c r="E41" i="1"/>
  <c r="F41" i="1"/>
  <c r="E33" i="1"/>
  <c r="F33" i="1"/>
  <c r="G33" i="1"/>
  <c r="I33" i="1"/>
  <c r="E25" i="1"/>
  <c r="F25" i="1"/>
  <c r="G25" i="1"/>
  <c r="I25" i="1"/>
  <c r="E47" i="1"/>
  <c r="F47" i="1"/>
  <c r="G47" i="1"/>
  <c r="K47" i="1"/>
  <c r="E38" i="1"/>
  <c r="F38" i="1"/>
  <c r="G38" i="1"/>
  <c r="I38" i="1"/>
  <c r="E30" i="1"/>
  <c r="F30" i="1"/>
  <c r="G30" i="1"/>
  <c r="H30" i="1"/>
  <c r="G24" i="1"/>
  <c r="I24" i="1"/>
  <c r="E22" i="1"/>
  <c r="F22" i="1"/>
  <c r="G22" i="1"/>
  <c r="I22" i="1"/>
  <c r="E42" i="1"/>
  <c r="F42" i="1"/>
  <c r="G42" i="1"/>
  <c r="I42" i="1"/>
  <c r="E53" i="1"/>
  <c r="F53" i="1"/>
  <c r="E44" i="1"/>
  <c r="F44" i="1"/>
  <c r="G44" i="1"/>
  <c r="I44" i="1"/>
  <c r="E35" i="1"/>
  <c r="F35" i="1"/>
  <c r="G35" i="1"/>
  <c r="I35" i="1"/>
  <c r="E27" i="1"/>
  <c r="F27" i="1"/>
  <c r="G27" i="1"/>
  <c r="I27" i="1"/>
  <c r="E49" i="1"/>
  <c r="F49" i="1"/>
  <c r="G49" i="1"/>
  <c r="E40" i="1"/>
  <c r="F40" i="1"/>
  <c r="G40" i="1"/>
  <c r="I40" i="1"/>
  <c r="E32" i="1"/>
  <c r="F32" i="1"/>
  <c r="G32" i="1"/>
  <c r="I32" i="1"/>
  <c r="G48" i="1"/>
  <c r="K48" i="1"/>
  <c r="E46" i="1"/>
  <c r="F46" i="1"/>
  <c r="G46" i="1"/>
  <c r="I46" i="1"/>
  <c r="G39" i="1"/>
  <c r="I39" i="1"/>
  <c r="E37" i="1"/>
  <c r="F37" i="1"/>
  <c r="G37" i="1"/>
  <c r="I37" i="1"/>
  <c r="E29" i="1"/>
  <c r="F29" i="1"/>
  <c r="G29" i="1"/>
  <c r="I29" i="1"/>
  <c r="G50" i="1"/>
  <c r="I50" i="1"/>
  <c r="E21" i="1"/>
  <c r="F21" i="1"/>
  <c r="G21" i="1"/>
  <c r="I21" i="1"/>
  <c r="E52" i="1"/>
  <c r="F52" i="1"/>
  <c r="G52" i="1"/>
  <c r="J52" i="1"/>
  <c r="G45" i="1"/>
  <c r="I45" i="1"/>
  <c r="E43" i="1"/>
  <c r="F43" i="1"/>
  <c r="G43" i="1"/>
  <c r="I43" i="1"/>
  <c r="G36" i="1"/>
  <c r="I36" i="1"/>
  <c r="E34" i="1"/>
  <c r="F34" i="1"/>
  <c r="G34" i="1"/>
  <c r="I34" i="1"/>
  <c r="G28" i="1"/>
  <c r="I28" i="1"/>
  <c r="K49" i="1"/>
  <c r="E36" i="2"/>
  <c r="E35" i="2"/>
  <c r="E18" i="2"/>
  <c r="E17" i="2"/>
  <c r="E26" i="2"/>
  <c r="E25" i="2"/>
  <c r="E34" i="2"/>
  <c r="E16" i="2"/>
  <c r="E20" i="2"/>
  <c r="E19" i="2"/>
  <c r="E40" i="2"/>
  <c r="E37" i="2"/>
  <c r="E11" i="2"/>
  <c r="E38" i="2"/>
  <c r="E32" i="2"/>
  <c r="E22" i="2"/>
  <c r="E39" i="2"/>
  <c r="E33" i="2"/>
  <c r="E27" i="2"/>
  <c r="E41" i="2"/>
  <c r="E29" i="2"/>
  <c r="E28" i="2"/>
  <c r="E21" i="2"/>
  <c r="E14" i="2"/>
  <c r="E24" i="2"/>
  <c r="E23" i="2"/>
  <c r="C12" i="1"/>
  <c r="C11" i="1"/>
  <c r="O53" i="1" l="1"/>
  <c r="O49" i="1"/>
  <c r="O46" i="1"/>
  <c r="O52" i="1"/>
  <c r="O50" i="1"/>
  <c r="O48" i="1"/>
  <c r="O51" i="1"/>
  <c r="C15" i="1"/>
  <c r="O4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<sst xmlns="http://schemas.openxmlformats.org/spreadsheetml/2006/main" count="375" uniqueCount="188">
  <si>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</si>
  <si>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</si>
  <si>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</si>
  <si>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</si>
  <si>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</si>
  <si>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</si>
  <si>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</si>
  <si>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</si>
  <si>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</si>
  <si>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</si>
  <si>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</si>
  <si>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</si>
  <si>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</si>
  <si>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</si>
  <si>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</si>
  <si>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</si>
  <si>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</si>
  <si>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</si>
  <si>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</si>
  <si>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</si>
  <si>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</si>
  <si>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</si>
  <si>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</si>
  <si>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</si>
  <si>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</si>
  <si>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</si>
  <si>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</si>
  <si>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</si>
  <si>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</si>
  <si>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BRNO 28</t>
  </si>
  <si>
    <t>K</t>
  </si>
  <si>
    <t>N</t>
  </si>
  <si>
    <t>v</t>
  </si>
  <si>
    <t>:</t>
  </si>
  <si>
    <t>IBVS 5263</t>
  </si>
  <si>
    <t>I</t>
  </si>
  <si>
    <t>IBVS 4888</t>
  </si>
  <si>
    <t>EA/SD</t>
  </si>
  <si>
    <t># of data points:</t>
  </si>
  <si>
    <t>GM Cyg / GSC 03150-02692</t>
  </si>
  <si>
    <t>IBVS 5917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</si>
  <si>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</si>
  <si>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</si>
  <si>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</si>
  <si>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</si>
  <si>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</si>
  <si>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</si>
  <si>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</si>
  <si>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</si>
  <si>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6010</t>
  </si>
  <si>
    <t>IBVS 6070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</si>
  <si>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</si>
  <si>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</si>
  <si>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</si>
  <si>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</si>
  <si>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</si>
  <si>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</si>
  <si>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</si>
  <si>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</si>
  <si>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</si>
  <si>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</si>
  <si>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</si>
  <si>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</si>
  <si>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2425465.533 </t>
  </si>
  <si>
    <t> 07.08.1928 00:47 </t>
  </si>
  <si>
    <t> 0.119 </t>
  </si>
  <si>
    <t>P </t>
  </si>
  <si>
    <t> H.van Schewick </t>
  </si>
  <si>
    <t> KVBB 24.87 </t>
  </si>
  <si>
    <t>2425650.685 </t>
  </si>
  <si>
    <t> 08.02.1929 04:26 </t>
  </si>
  <si>
    <t> 0.185 </t>
  </si>
  <si>
    <t>2425764.510 </t>
  </si>
  <si>
    <t> 02.06.1929 00:14 </t>
  </si>
  <si>
    <t> 0.111 </t>
  </si>
  <si>
    <t>2427297.506 </t>
  </si>
  <si>
    <t> 13.08.1933 00:08 </t>
  </si>
  <si>
    <t> 0.213 </t>
  </si>
  <si>
    <t>2428754.305 </t>
  </si>
  <si>
    <t> 08.08.1937 19:19 </t>
  </si>
  <si>
    <t> 0.051 </t>
  </si>
  <si>
    <t> A.Alksnis </t>
  </si>
  <si>
    <t> PZ 8.310 </t>
  </si>
  <si>
    <t>2429086.500 </t>
  </si>
  <si>
    <t> 07.07.1938 00:00 </t>
  </si>
  <si>
    <t> 0.039 </t>
  </si>
  <si>
    <t>V </t>
  </si>
  <si>
    <t>2429105.500 </t>
  </si>
  <si>
    <t> 26.07.1938 00:00 </t>
  </si>
  <si>
    <t> 0.056 </t>
  </si>
  <si>
    <t>2429124.403 </t>
  </si>
  <si>
    <t> 13.08.1938 21:40 </t>
  </si>
  <si>
    <t> -0.024 </t>
  </si>
  <si>
    <t>2429143.460 </t>
  </si>
  <si>
    <t> 01.09.1938 23:02 </t>
  </si>
  <si>
    <t> 0.050 </t>
  </si>
  <si>
    <t>2432408.535 </t>
  </si>
  <si>
    <t> 11.08.1947 00:50 </t>
  </si>
  <si>
    <t> 0.013 </t>
  </si>
  <si>
    <t> B.S.Whitney </t>
  </si>
  <si>
    <t> AJ 55.231 </t>
  </si>
  <si>
    <t>2433096.649 </t>
  </si>
  <si>
    <t> 29.06.1949 03:34 </t>
  </si>
  <si>
    <t> -0.014 </t>
  </si>
  <si>
    <t>2433580.730 </t>
  </si>
  <si>
    <t> 26.10.1950 05:31 </t>
  </si>
  <si>
    <t> -0.005 </t>
  </si>
  <si>
    <t> AJ 64.263 </t>
  </si>
  <si>
    <t>2433618.703 </t>
  </si>
  <si>
    <t> 03.12.1950 04:52 </t>
  </si>
  <si>
    <t> 0.001 </t>
  </si>
  <si>
    <t>2433922.378 </t>
  </si>
  <si>
    <t> 02.10.1951 21:04 </t>
  </si>
  <si>
    <t> -0.055 </t>
  </si>
  <si>
    <t> C.Jagott </t>
  </si>
  <si>
    <t> MVS 171 </t>
  </si>
  <si>
    <t>2434135.972 </t>
  </si>
  <si>
    <t> 03.05.1952 11:19 </t>
  </si>
  <si>
    <t> -0.022 </t>
  </si>
  <si>
    <t>2434221.497 </t>
  </si>
  <si>
    <t> 27.07.1952 23:55 </t>
  </si>
  <si>
    <t> 0.079 </t>
  </si>
  <si>
    <t>2434458.586 </t>
  </si>
  <si>
    <t> 22.03.1953 02:03 </t>
  </si>
  <si>
    <t> -0.122 </t>
  </si>
  <si>
    <t>2434501.460 </t>
  </si>
  <si>
    <t> 03.05.1953 23:02 </t>
  </si>
  <si>
    <t>2434591.594 </t>
  </si>
  <si>
    <t> 02.08.1953 02:15 </t>
  </si>
  <si>
    <t> 0.003 </t>
  </si>
  <si>
    <t>2435075.675 </t>
  </si>
  <si>
    <t> 29.11.1954 04:12 </t>
  </si>
  <si>
    <t> 0.012 </t>
  </si>
  <si>
    <t>2436029.569 </t>
  </si>
  <si>
    <t> 10.07.1957 01:39 </t>
  </si>
  <si>
    <t> 0.000 </t>
  </si>
  <si>
    <t>2436138.721 </t>
  </si>
  <si>
    <t> 27.10.1957 05:18 </t>
  </si>
  <si>
    <t> -0.001 </t>
  </si>
  <si>
    <t>2447006.368 </t>
  </si>
  <si>
    <t> 29.07.1987 20:49 </t>
  </si>
  <si>
    <t> -0.241 </t>
  </si>
  <si>
    <t> J.Borovicka </t>
  </si>
  <si>
    <t> BRNO 28.40 </t>
  </si>
  <si>
    <t>2447039.587 </t>
  </si>
  <si>
    <t> 01.09.1987 02:05 </t>
  </si>
  <si>
    <t> -0.243 </t>
  </si>
  <si>
    <t>2451016.5516 </t>
  </si>
  <si>
    <t> 22.07.1998 01:14 </t>
  </si>
  <si>
    <t> -0.2600 </t>
  </si>
  <si>
    <t>E </t>
  </si>
  <si>
    <t>?</t>
  </si>
  <si>
    <t> J.Safar </t>
  </si>
  <si>
    <t>IBVS 4888 </t>
  </si>
  <si>
    <t>2451277.5663 </t>
  </si>
  <si>
    <t> 09.04.1999 01:35 </t>
  </si>
  <si>
    <t> -0.2645 </t>
  </si>
  <si>
    <t>IBVS 5263 </t>
  </si>
  <si>
    <t>2454974.579 </t>
  </si>
  <si>
    <t> 23.05.2009 01:53 </t>
  </si>
  <si>
    <t> -0.232 </t>
  </si>
  <si>
    <t>C </t>
  </si>
  <si>
    <t>ns</t>
  </si>
  <si>
    <t> G.Marino et al. </t>
  </si>
  <si>
    <t>IBVS 5917 </t>
  </si>
  <si>
    <t>2455050.5134 </t>
  </si>
  <si>
    <t> 07.08.2009 00:19 </t>
  </si>
  <si>
    <t> -0.2299 </t>
  </si>
  <si>
    <t>-I</t>
  </si>
  <si>
    <t> F.Agerer </t>
  </si>
  <si>
    <t>BAVM 212 </t>
  </si>
  <si>
    <t>2455387.4717 </t>
  </si>
  <si>
    <t> 09.07.2010 23:19 </t>
  </si>
  <si>
    <t>4842</t>
  </si>
  <si>
    <t> -0.2236 </t>
  </si>
  <si>
    <t>BAVM 215 </t>
  </si>
  <si>
    <t>2455686.4609 </t>
  </si>
  <si>
    <t> 04.05.2011 23:03 </t>
  </si>
  <si>
    <t>4905</t>
  </si>
  <si>
    <t> -0.2199 </t>
  </si>
  <si>
    <t>BAVM 220 </t>
  </si>
  <si>
    <t>2456151.5575 </t>
  </si>
  <si>
    <t> 12.08.2012 01:22 </t>
  </si>
  <si>
    <t>5003</t>
  </si>
  <si>
    <t> -0.2119 </t>
  </si>
  <si>
    <t>o</t>
  </si>
  <si>
    <t> U.Schmidt </t>
  </si>
  <si>
    <t>BAVM 231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</si>
</sst>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Cyg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85958167167895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12-42AB-A8EF-3C7B64F210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0.11932600000000093</c:v>
                </c:pt>
                <c:pt idx="1">
                  <c:v>0.18504800000300747</c:v>
                </c:pt>
                <c:pt idx="2">
                  <c:v>0.11079999999856227</c:v>
                </c:pt>
                <c:pt idx="3">
                  <c:v>0.21275400000013178</c:v>
                </c:pt>
                <c:pt idx="4">
                  <c:v>5.0540000000182772E-2</c:v>
                </c:pt>
                <c:pt idx="5">
                  <c:v>3.9399999997840496E-2</c:v>
                </c:pt>
                <c:pt idx="6">
                  <c:v>5.6192000000010012E-2</c:v>
                </c:pt>
                <c:pt idx="7">
                  <c:v>-2.4016000003030058E-2</c:v>
                </c:pt>
                <c:pt idx="8">
                  <c:v>4.977599999983795E-2</c:v>
                </c:pt>
                <c:pt idx="10">
                  <c:v>1.299999999901047E-2</c:v>
                </c:pt>
                <c:pt idx="11">
                  <c:v>-1.4290000006440096E-2</c:v>
                </c:pt>
                <c:pt idx="12">
                  <c:v>-5.0940000000991859E-3</c:v>
                </c:pt>
                <c:pt idx="13">
                  <c:v>1.4900000023772009E-3</c:v>
                </c:pt>
                <c:pt idx="14">
                  <c:v>-5.4838000003655907E-2</c:v>
                </c:pt>
                <c:pt idx="15">
                  <c:v>-2.1928000001935288E-2</c:v>
                </c:pt>
                <c:pt idx="16">
                  <c:v>7.8636000005644746E-2</c:v>
                </c:pt>
                <c:pt idx="17">
                  <c:v>-0.12246400000003632</c:v>
                </c:pt>
                <c:pt idx="18">
                  <c:v>3.9317999995546415E-2</c:v>
                </c:pt>
                <c:pt idx="19">
                  <c:v>3.0799999949522316E-3</c:v>
                </c:pt>
                <c:pt idx="20">
                  <c:v>1.1275999997451436E-2</c:v>
                </c:pt>
                <c:pt idx="21">
                  <c:v>1.2276000001293141E-2</c:v>
                </c:pt>
                <c:pt idx="22">
                  <c:v>7.4000003223773092E-5</c:v>
                </c:pt>
                <c:pt idx="23">
                  <c:v>-1.3720000060857274E-3</c:v>
                </c:pt>
                <c:pt idx="24">
                  <c:v>-0.24095200000010664</c:v>
                </c:pt>
                <c:pt idx="25">
                  <c:v>-0.24256600000080653</c:v>
                </c:pt>
                <c:pt idx="29">
                  <c:v>-0.22994199999811826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12-42AB-A8EF-3C7B64F210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0">
                  <c:v>-0.22358399999939138</c:v>
                </c:pt>
                <c:pt idx="31">
                  <c:v>-0.21991000000707572</c:v>
                </c:pt>
                <c:pt idx="32">
                  <c:v>-0.21190600000409177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12-42AB-A8EF-3C7B64F210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6">
                  <c:v>-0.26004200000170385</c:v>
                </c:pt>
                <c:pt idx="27">
                  <c:v>-0.26445200000307523</c:v>
                </c:pt>
                <c:pt idx="28">
                  <c:v>-0.23151000000507338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12-42AB-A8EF-3C7B64F210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12-42AB-A8EF-3C7B64F210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12-42AB-A8EF-3C7B64F210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12-42AB-A8EF-3C7B64F210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25">
                  <c:v>-0.36123826917480506</c:v>
                </c:pt>
                <c:pt idx="26">
                  <c:v>-0.29604626242264276</c:v>
                </c:pt>
                <c:pt idx="27">
                  <c:v>-0.29176755076229793</c:v>
                </c:pt>
                <c:pt idx="28">
                  <c:v>-0.23116543470032369</c:v>
                </c:pt>
                <c:pt idx="29">
                  <c:v>-0.22992071858095064</c:v>
                </c:pt>
                <c:pt idx="30">
                  <c:v>-0.22439729080123288</c:v>
                </c:pt>
                <c:pt idx="31">
                  <c:v>-0.21949622108120159</c:v>
                </c:pt>
                <c:pt idx="32">
                  <c:v>-0.21187233485004175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12-42AB-A8EF-3C7B64F2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224040"/>
        <c:axId val="1"/>
      </c:scatterChart>
      <c:valAx>
        <c:axId val="770224040"/>
        <c:scaling>
          <c:orientation val="minMax"/>
          <c:min val="39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224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Cyg - O-C Diagr.</a:t>
            </a:r>
          </a:p>
        </c:rich>
      </c:tx>
      <c:layout>
        <c:manualLayout>
          <c:xMode val="edge"/>
          <c:yMode val="edge"/>
          <c:x val="0.34020618556701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23926380368099"/>
          <c:w val="0.77731958762886599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AC-4C00-BE5D-09D479B6F4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0.11932600000000093</c:v>
                </c:pt>
                <c:pt idx="1">
                  <c:v>0.18504800000300747</c:v>
                </c:pt>
                <c:pt idx="2">
                  <c:v>0.11079999999856227</c:v>
                </c:pt>
                <c:pt idx="3">
                  <c:v>0.21275400000013178</c:v>
                </c:pt>
                <c:pt idx="4">
                  <c:v>5.0540000000182772E-2</c:v>
                </c:pt>
                <c:pt idx="5">
                  <c:v>3.9399999997840496E-2</c:v>
                </c:pt>
                <c:pt idx="6">
                  <c:v>5.6192000000010012E-2</c:v>
                </c:pt>
                <c:pt idx="7">
                  <c:v>-2.4016000003030058E-2</c:v>
                </c:pt>
                <c:pt idx="8">
                  <c:v>4.977599999983795E-2</c:v>
                </c:pt>
                <c:pt idx="10">
                  <c:v>1.299999999901047E-2</c:v>
                </c:pt>
                <c:pt idx="11">
                  <c:v>-1.4290000006440096E-2</c:v>
                </c:pt>
                <c:pt idx="12">
                  <c:v>-5.0940000000991859E-3</c:v>
                </c:pt>
                <c:pt idx="13">
                  <c:v>1.4900000023772009E-3</c:v>
                </c:pt>
                <c:pt idx="14">
                  <c:v>-5.4838000003655907E-2</c:v>
                </c:pt>
                <c:pt idx="15">
                  <c:v>-2.1928000001935288E-2</c:v>
                </c:pt>
                <c:pt idx="16">
                  <c:v>7.8636000005644746E-2</c:v>
                </c:pt>
                <c:pt idx="17">
                  <c:v>-0.12246400000003632</c:v>
                </c:pt>
                <c:pt idx="18">
                  <c:v>3.9317999995546415E-2</c:v>
                </c:pt>
                <c:pt idx="19">
                  <c:v>3.0799999949522316E-3</c:v>
                </c:pt>
                <c:pt idx="20">
                  <c:v>1.1275999997451436E-2</c:v>
                </c:pt>
                <c:pt idx="21">
                  <c:v>1.2276000001293141E-2</c:v>
                </c:pt>
                <c:pt idx="22">
                  <c:v>7.4000003223773092E-5</c:v>
                </c:pt>
                <c:pt idx="23">
                  <c:v>-1.3720000060857274E-3</c:v>
                </c:pt>
                <c:pt idx="24">
                  <c:v>-0.24095200000010664</c:v>
                </c:pt>
                <c:pt idx="25">
                  <c:v>-0.24256600000080653</c:v>
                </c:pt>
                <c:pt idx="29">
                  <c:v>-0.22994199999811826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AC-4C00-BE5D-09D479B6F4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0">
                  <c:v>-0.22358399999939138</c:v>
                </c:pt>
                <c:pt idx="31">
                  <c:v>-0.21991000000707572</c:v>
                </c:pt>
                <c:pt idx="32">
                  <c:v>-0.21190600000409177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AC-4C00-BE5D-09D479B6F4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6">
                  <c:v>-0.26004200000170385</c:v>
                </c:pt>
                <c:pt idx="27">
                  <c:v>-0.26445200000307523</c:v>
                </c:pt>
                <c:pt idx="28">
                  <c:v>-0.23151000000507338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AC-4C00-BE5D-09D479B6F4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AC-4C00-BE5D-09D479B6F4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AC-4C00-BE5D-09D479B6F4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7">
                    <c:v>0</c:v>
                  </c:pt>
                  <c:pt idx="9">
                    <c:v>0</c:v>
                  </c:pt>
                  <c:pt idx="21">
                    <c:v>0</c:v>
                  </c:pt>
                  <c:pt idx="26">
                    <c:v>1.5E-3</c:v>
                  </c:pt>
                  <c:pt idx="27">
                    <c:v>1.9E-3</c:v>
                  </c:pt>
                  <c:pt idx="28">
                    <c:v>1E-3</c:v>
                  </c:pt>
                  <c:pt idx="29">
                    <c:v>0</c:v>
                  </c:pt>
                  <c:pt idx="30">
                    <c:v>2.8E-3</c:v>
                  </c:pt>
                  <c:pt idx="31">
                    <c:v>2.3999999999999998E-3</c:v>
                  </c:pt>
                  <c:pt idx="32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AC-4C00-BE5D-09D479B6F4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-1463</c:v>
                </c:pt>
                <c:pt idx="1">
                  <c:v>-1424</c:v>
                </c:pt>
                <c:pt idx="2">
                  <c:v>-1400</c:v>
                </c:pt>
                <c:pt idx="3">
                  <c:v>-1077</c:v>
                </c:pt>
                <c:pt idx="4">
                  <c:v>-770</c:v>
                </c:pt>
                <c:pt idx="5">
                  <c:v>-700</c:v>
                </c:pt>
                <c:pt idx="6">
                  <c:v>-696</c:v>
                </c:pt>
                <c:pt idx="7">
                  <c:v>-692</c:v>
                </c:pt>
                <c:pt idx="8">
                  <c:v>-688</c:v>
                </c:pt>
                <c:pt idx="9">
                  <c:v>0</c:v>
                </c:pt>
                <c:pt idx="10">
                  <c:v>0</c:v>
                </c:pt>
                <c:pt idx="11">
                  <c:v>145</c:v>
                </c:pt>
                <c:pt idx="12">
                  <c:v>247</c:v>
                </c:pt>
                <c:pt idx="13">
                  <c:v>255</c:v>
                </c:pt>
                <c:pt idx="14">
                  <c:v>319</c:v>
                </c:pt>
                <c:pt idx="15">
                  <c:v>364</c:v>
                </c:pt>
                <c:pt idx="16">
                  <c:v>382</c:v>
                </c:pt>
                <c:pt idx="17">
                  <c:v>432</c:v>
                </c:pt>
                <c:pt idx="18">
                  <c:v>441</c:v>
                </c:pt>
                <c:pt idx="19">
                  <c:v>460</c:v>
                </c:pt>
                <c:pt idx="20">
                  <c:v>562</c:v>
                </c:pt>
                <c:pt idx="21">
                  <c:v>562</c:v>
                </c:pt>
                <c:pt idx="22">
                  <c:v>763</c:v>
                </c:pt>
                <c:pt idx="23">
                  <c:v>786</c:v>
                </c:pt>
                <c:pt idx="24">
                  <c:v>3076</c:v>
                </c:pt>
                <c:pt idx="25">
                  <c:v>3083</c:v>
                </c:pt>
                <c:pt idx="26">
                  <c:v>3921</c:v>
                </c:pt>
                <c:pt idx="27">
                  <c:v>3976</c:v>
                </c:pt>
                <c:pt idx="28">
                  <c:v>4755</c:v>
                </c:pt>
                <c:pt idx="29">
                  <c:v>4771</c:v>
                </c:pt>
                <c:pt idx="30">
                  <c:v>4842</c:v>
                </c:pt>
                <c:pt idx="31">
                  <c:v>4905</c:v>
                </c:pt>
                <c:pt idx="32">
                  <c:v>5003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25">
                  <c:v>-0.36123826917480506</c:v>
                </c:pt>
                <c:pt idx="26">
                  <c:v>-0.29604626242264276</c:v>
                </c:pt>
                <c:pt idx="27">
                  <c:v>-0.29176755076229793</c:v>
                </c:pt>
                <c:pt idx="28">
                  <c:v>-0.23116543470032369</c:v>
                </c:pt>
                <c:pt idx="29">
                  <c:v>-0.22992071858095064</c:v>
                </c:pt>
                <c:pt idx="30">
                  <c:v>-0.22439729080123288</c:v>
                </c:pt>
                <c:pt idx="31">
                  <c:v>-0.21949622108120159</c:v>
                </c:pt>
                <c:pt idx="32">
                  <c:v>-0.21187233485004175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AC-4C00-BE5D-09D479B6F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220080"/>
        <c:axId val="1"/>
      </c:scatterChart>
      <c:valAx>
        <c:axId val="770220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220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6494845360824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0</xdr:row>
      <xdr:rowOff>9525</xdr:rowOff>
    </xdr:from>
    <xdr:to>
      <xdr:col>17</xdr:col>
      <xdr:colOff>533399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E4999D8-DCDE-91AB-6B3B-3EE08F24C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638176</xdr:colOff>
      <xdr:row>0</xdr:row>
      <xdr:rowOff>47625</xdr:rowOff>
    </xdr:from>
    <xdr:to>
      <xdr:col>26</xdr:col>
      <xdr:colOff>581026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A1D1DAF-6C08-5A00-0992-283C6115D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17" TargetMode="External"/><Relationship Id="rId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415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24</v>
      </c>
      <c r="B2" s="8" t="s">
        <v>37</v>
      </c>
    </row>
    <row r="4" spans="1:6" ht="14.25" thickTop="1" thickBot="1" x14ac:dyDescent="0.25">
      <c r="A4" s="5" t="s">
        <v>0</v>
      </c>
      <c r="C4" s="2">
        <v>32408.522000000001</v>
      </c>
      <c r="D4" s="3">
        <v>4.7458020000000003</v>
      </c>
    </row>
    <row r="5" spans="1:6" ht="13.5" thickTop="1" x14ac:dyDescent="0.2">
      <c r="A5" s="13" t="s">
        <v>41</v>
      </c>
      <c r="B5" s="14"/>
      <c r="C5" s="15">
        <v>-9.5</v>
      </c>
      <c r="D5" s="14" t="s">
        <v>42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32408.522000000001</v>
      </c>
    </row>
    <row r="8" spans="1:6" x14ac:dyDescent="0.2">
      <c r="A8" t="s">
        <v>3</v>
      </c>
      <c r="C8">
        <f>+D4</f>
        <v>4.7458020000000003</v>
      </c>
    </row>
    <row r="9" spans="1:6" x14ac:dyDescent="0.2">
      <c r="A9" s="29" t="s">
        <v>46</v>
      </c>
      <c r="B9" s="30">
        <v>49</v>
      </c>
      <c r="C9" s="18" t="str">
        <f>"F"&amp;B9</f>
        <v>F49</v>
      </c>
      <c r="D9" s="19" t="str">
        <f>"G"&amp;B9</f>
        <v>G49</v>
      </c>
    </row>
    <row r="10" spans="1:6" ht="13.5" thickBot="1" x14ac:dyDescent="0.25">
      <c r="A10" s="14"/>
      <c r="B10" s="14"/>
      <c r="C10" s="4" t="s">
        <v>20</v>
      </c>
      <c r="D10" s="4" t="s">
        <v>21</v>
      </c>
      <c r="E10" s="14"/>
    </row>
    <row r="11" spans="1:6" x14ac:dyDescent="0.2">
      <c r="A11" s="14" t="s">
        <v>16</v>
      </c>
      <c r="B11" s="14"/>
      <c r="C11" s="16">
        <f ca="1">INTERCEPT(INDIRECT($D$9):G992,INDIRECT($C$9):F992)</f>
        <v>-0.60107950642649521</v>
      </c>
      <c r="D11" s="17"/>
      <c r="E11" s="14"/>
    </row>
    <row r="12" spans="1:6" x14ac:dyDescent="0.2">
      <c r="A12" s="14" t="s">
        <v>17</v>
      </c>
      <c r="B12" s="14"/>
      <c r="C12" s="16">
        <f ca="1">SLOPE(INDIRECT($D$9):G992,INDIRECT($C$9):F992)</f>
        <v>7.7794757460814199E-5</v>
      </c>
      <c r="D12" s="17"/>
      <c r="E12" s="14"/>
    </row>
    <row r="13" spans="1:6" x14ac:dyDescent="0.2">
      <c r="A13" s="14" t="s">
        <v>19</v>
      </c>
      <c r="B13" s="14"/>
      <c r="C13" s="17" t="s">
        <v>14</v>
      </c>
    </row>
    <row r="14" spans="1:6" x14ac:dyDescent="0.2">
      <c r="A14" s="14"/>
      <c r="B14" s="14"/>
      <c r="C14" s="14"/>
    </row>
    <row r="15" spans="1:6" x14ac:dyDescent="0.2">
      <c r="A15" s="20" t="s">
        <v>18</v>
      </c>
      <c r="B15" s="14"/>
      <c r="C15" s="21">
        <f ca="1">(C7+C11)+(C8+C12)*INT(MAX(F21:F3533))</f>
        <v>56151.557533665153</v>
      </c>
      <c r="E15" s="22" t="s">
        <v>47</v>
      </c>
      <c r="F15" s="15">
        <v>1</v>
      </c>
    </row>
    <row r="16" spans="1:6" x14ac:dyDescent="0.2">
      <c r="A16" s="24" t="s">
        <v>4</v>
      </c>
      <c r="B16" s="14"/>
      <c r="C16" s="25">
        <f ca="1">+C8+C12</f>
        <v>4.7458797947574611</v>
      </c>
      <c r="E16" s="22" t="s">
        <v>43</v>
      </c>
      <c r="F16" s="23">
        <f ca="1">NOW()+15018.5+$C$5/24</f>
        <v>60339.784558912033</v>
      </c>
    </row>
    <row r="17" spans="1:30" ht="13.5" thickBot="1" x14ac:dyDescent="0.25">
      <c r="A17" s="22" t="s">
        <v>38</v>
      </c>
      <c r="B17" s="14"/>
      <c r="C17" s="14">
        <f>COUNT(C21:C2191)</f>
        <v>33</v>
      </c>
      <c r="E17" s="22" t="s">
        <v>48</v>
      </c>
      <c r="F17" s="23">
        <f ca="1">ROUND(2*(F16-$C$7)/$C$8,0)/2+F15</f>
        <v>5886.5</v>
      </c>
    </row>
    <row r="18" spans="1:30" ht="14.25" thickTop="1" thickBot="1" x14ac:dyDescent="0.25">
      <c r="A18" s="24" t="s">
        <v>5</v>
      </c>
      <c r="B18" s="14"/>
      <c r="C18" s="27">
        <f ca="1">+C15</f>
        <v>56151.557533665153</v>
      </c>
      <c r="D18" s="28">
        <f ca="1">+C16</f>
        <v>4.7458797947574611</v>
      </c>
      <c r="E18" s="22" t="s">
        <v>44</v>
      </c>
      <c r="F18" s="19">
        <f ca="1">ROUND(2*(F16-$C$15)/$C$16,0)/2+F15</f>
        <v>883.5</v>
      </c>
    </row>
    <row r="19" spans="1:30" ht="13.5" thickTop="1" x14ac:dyDescent="0.2">
      <c r="E19" s="22" t="s">
        <v>45</v>
      </c>
      <c r="F19" s="26">
        <f ca="1">+$C$15+$C$16*F18-15018.5-$C$5/24</f>
        <v>45326.438165666703</v>
      </c>
    </row>
    <row r="20" spans="1:30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61</v>
      </c>
      <c r="J20" s="7" t="s">
        <v>56</v>
      </c>
      <c r="K20" s="7" t="s">
        <v>54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30" s="10" customFormat="1" x14ac:dyDescent="0.2">
      <c r="A21" s="54" t="s">
        <v>68</v>
      </c>
      <c r="B21" s="56" t="s">
        <v>35</v>
      </c>
      <c r="C21" s="55">
        <v>25465.532999999999</v>
      </c>
      <c r="D21" s="55" t="s">
        <v>61</v>
      </c>
      <c r="E21" s="10">
        <f t="shared" ref="E21:E53" si="0">+(C21-C$7)/C$8</f>
        <v>-1462.9748565152952</v>
      </c>
      <c r="F21" s="10">
        <f t="shared" ref="F21:F53" si="1">ROUND(2*E21,0)/2</f>
        <v>-1463</v>
      </c>
      <c r="G21" s="10">
        <f t="shared" ref="G21:G53" si="2">+C21-(C$7+F21*C$8)</f>
        <v>0.11932600000000093</v>
      </c>
      <c r="I21" s="10">
        <f t="shared" ref="I21:I29" si="3">+G21</f>
        <v>0.11932600000000093</v>
      </c>
      <c r="Q21" s="12">
        <f t="shared" ref="Q21:Q53" si="4">+C21-15018.5</f>
        <v>10447.032999999999</v>
      </c>
    </row>
    <row r="22" spans="1:30" s="10" customFormat="1" x14ac:dyDescent="0.2">
      <c r="A22" s="10" t="s">
        <v>29</v>
      </c>
      <c r="C22" s="11">
        <v>25650.685000000001</v>
      </c>
      <c r="D22" s="11"/>
      <c r="E22" s="10">
        <f t="shared" si="0"/>
        <v>-1423.9610080656544</v>
      </c>
      <c r="F22" s="10">
        <f t="shared" si="1"/>
        <v>-1424</v>
      </c>
      <c r="G22" s="10">
        <f t="shared" si="2"/>
        <v>0.18504800000300747</v>
      </c>
      <c r="I22" s="10">
        <f t="shared" si="3"/>
        <v>0.18504800000300747</v>
      </c>
      <c r="Q22" s="12">
        <f t="shared" si="4"/>
        <v>10632.185000000001</v>
      </c>
      <c r="AB22" s="10" t="s">
        <v>28</v>
      </c>
      <c r="AD22" s="10" t="s">
        <v>30</v>
      </c>
    </row>
    <row r="23" spans="1:30" s="10" customFormat="1" x14ac:dyDescent="0.2">
      <c r="A23" s="10" t="s">
        <v>29</v>
      </c>
      <c r="C23" s="11">
        <v>25764.51</v>
      </c>
      <c r="D23" s="11"/>
      <c r="E23" s="10">
        <f t="shared" si="0"/>
        <v>-1399.9766530504228</v>
      </c>
      <c r="F23" s="10">
        <f t="shared" si="1"/>
        <v>-1400</v>
      </c>
      <c r="G23" s="10">
        <f t="shared" si="2"/>
        <v>0.11079999999856227</v>
      </c>
      <c r="I23" s="10">
        <f t="shared" si="3"/>
        <v>0.11079999999856227</v>
      </c>
      <c r="Q23" s="12">
        <f t="shared" si="4"/>
        <v>10746.009999999998</v>
      </c>
      <c r="AB23" s="10" t="s">
        <v>28</v>
      </c>
      <c r="AD23" s="10" t="s">
        <v>30</v>
      </c>
    </row>
    <row r="24" spans="1:30" s="10" customFormat="1" x14ac:dyDescent="0.2">
      <c r="A24" s="10" t="s">
        <v>29</v>
      </c>
      <c r="C24" s="11">
        <v>27297.506000000001</v>
      </c>
      <c r="D24" s="11"/>
      <c r="E24" s="10">
        <f t="shared" si="0"/>
        <v>-1076.9551700639847</v>
      </c>
      <c r="F24" s="10">
        <f t="shared" si="1"/>
        <v>-1077</v>
      </c>
      <c r="G24" s="10">
        <f t="shared" si="2"/>
        <v>0.21275400000013178</v>
      </c>
      <c r="I24" s="10">
        <f t="shared" si="3"/>
        <v>0.21275400000013178</v>
      </c>
      <c r="Q24" s="12">
        <f t="shared" si="4"/>
        <v>12279.006000000001</v>
      </c>
      <c r="AB24" s="10" t="s">
        <v>28</v>
      </c>
      <c r="AD24" s="10" t="s">
        <v>30</v>
      </c>
    </row>
    <row r="25" spans="1:30" s="10" customFormat="1" x14ac:dyDescent="0.2">
      <c r="A25" s="10" t="s">
        <v>29</v>
      </c>
      <c r="C25" s="11">
        <v>28754.305</v>
      </c>
      <c r="D25" s="11"/>
      <c r="E25" s="10">
        <f t="shared" si="0"/>
        <v>-769.98935058816198</v>
      </c>
      <c r="F25" s="10">
        <f t="shared" si="1"/>
        <v>-770</v>
      </c>
      <c r="G25" s="10">
        <f t="shared" si="2"/>
        <v>5.0540000000182772E-2</v>
      </c>
      <c r="I25" s="10">
        <f t="shared" si="3"/>
        <v>5.0540000000182772E-2</v>
      </c>
      <c r="Q25" s="12">
        <f t="shared" si="4"/>
        <v>13735.805</v>
      </c>
      <c r="AA25" s="10" t="s">
        <v>31</v>
      </c>
      <c r="AB25" s="10" t="s">
        <v>28</v>
      </c>
      <c r="AD25" s="10" t="s">
        <v>30</v>
      </c>
    </row>
    <row r="26" spans="1:30" s="10" customFormat="1" x14ac:dyDescent="0.2">
      <c r="A26" s="10" t="s">
        <v>29</v>
      </c>
      <c r="C26" s="11">
        <v>29086.5</v>
      </c>
      <c r="D26" s="11"/>
      <c r="E26" s="10">
        <f t="shared" si="0"/>
        <v>-699.99169792587236</v>
      </c>
      <c r="F26" s="10">
        <f t="shared" si="1"/>
        <v>-700</v>
      </c>
      <c r="G26" s="10">
        <f t="shared" si="2"/>
        <v>3.9399999997840496E-2</v>
      </c>
      <c r="I26" s="10">
        <f t="shared" si="3"/>
        <v>3.9399999997840496E-2</v>
      </c>
      <c r="Q26" s="12">
        <f t="shared" si="4"/>
        <v>14068</v>
      </c>
      <c r="AB26" s="10" t="s">
        <v>32</v>
      </c>
      <c r="AD26" s="10" t="s">
        <v>30</v>
      </c>
    </row>
    <row r="27" spans="1:30" s="10" customFormat="1" x14ac:dyDescent="0.2">
      <c r="A27" s="10" t="s">
        <v>29</v>
      </c>
      <c r="C27" s="11">
        <v>29105.5</v>
      </c>
      <c r="D27" s="11"/>
      <c r="E27" s="10">
        <f t="shared" si="0"/>
        <v>-695.98815964087851</v>
      </c>
      <c r="F27" s="10">
        <f t="shared" si="1"/>
        <v>-696</v>
      </c>
      <c r="G27" s="10">
        <f t="shared" si="2"/>
        <v>5.6192000000010012E-2</v>
      </c>
      <c r="I27" s="10">
        <f t="shared" si="3"/>
        <v>5.6192000000010012E-2</v>
      </c>
      <c r="Q27" s="12">
        <f t="shared" si="4"/>
        <v>14087</v>
      </c>
      <c r="AB27" s="10" t="s">
        <v>32</v>
      </c>
      <c r="AD27" s="10" t="s">
        <v>30</v>
      </c>
    </row>
    <row r="28" spans="1:30" s="10" customFormat="1" x14ac:dyDescent="0.2">
      <c r="A28" s="10" t="s">
        <v>29</v>
      </c>
      <c r="C28" s="11">
        <v>29124.402999999998</v>
      </c>
      <c r="D28" s="11" t="s">
        <v>33</v>
      </c>
      <c r="E28" s="10">
        <f t="shared" si="0"/>
        <v>-692.00506047239264</v>
      </c>
      <c r="F28" s="10">
        <f t="shared" si="1"/>
        <v>-692</v>
      </c>
      <c r="G28" s="10">
        <f t="shared" si="2"/>
        <v>-2.4016000003030058E-2</v>
      </c>
      <c r="I28" s="10">
        <f t="shared" si="3"/>
        <v>-2.4016000003030058E-2</v>
      </c>
      <c r="Q28" s="12">
        <f t="shared" si="4"/>
        <v>14105.902999999998</v>
      </c>
      <c r="AB28" s="10" t="s">
        <v>32</v>
      </c>
      <c r="AD28" s="10" t="s">
        <v>30</v>
      </c>
    </row>
    <row r="29" spans="1:30" s="10" customFormat="1" x14ac:dyDescent="0.2">
      <c r="A29" s="10" t="s">
        <v>29</v>
      </c>
      <c r="C29" s="11">
        <v>29143.46</v>
      </c>
      <c r="D29" s="11"/>
      <c r="E29" s="10">
        <f t="shared" si="0"/>
        <v>-687.98951157254385</v>
      </c>
      <c r="F29" s="10">
        <f t="shared" si="1"/>
        <v>-688</v>
      </c>
      <c r="G29" s="10">
        <f t="shared" si="2"/>
        <v>4.977599999983795E-2</v>
      </c>
      <c r="I29" s="10">
        <f t="shared" si="3"/>
        <v>4.977599999983795E-2</v>
      </c>
      <c r="Q29" s="12">
        <f t="shared" si="4"/>
        <v>14124.96</v>
      </c>
      <c r="AB29" s="10" t="s">
        <v>32</v>
      </c>
      <c r="AD29" s="10" t="s">
        <v>30</v>
      </c>
    </row>
    <row r="30" spans="1:30" s="10" customFormat="1" x14ac:dyDescent="0.2">
      <c r="A30" s="10" t="s">
        <v>12</v>
      </c>
      <c r="C30" s="11">
        <v>32408.522000000001</v>
      </c>
      <c r="D30" s="11" t="s">
        <v>14</v>
      </c>
      <c r="E30" s="10">
        <f t="shared" si="0"/>
        <v>0</v>
      </c>
      <c r="F30" s="10">
        <f t="shared" si="1"/>
        <v>0</v>
      </c>
      <c r="G30" s="10">
        <f t="shared" si="2"/>
        <v>0</v>
      </c>
      <c r="H30" s="10">
        <f>+G30</f>
        <v>0</v>
      </c>
      <c r="Q30" s="12">
        <f t="shared" si="4"/>
        <v>17390.022000000001</v>
      </c>
    </row>
    <row r="31" spans="1:30" s="10" customFormat="1" x14ac:dyDescent="0.2">
      <c r="A31" s="10" t="s">
        <v>29</v>
      </c>
      <c r="C31" s="11">
        <v>32408.535</v>
      </c>
      <c r="D31" s="11"/>
      <c r="E31" s="10">
        <f t="shared" si="0"/>
        <v>2.7392630368924934E-3</v>
      </c>
      <c r="F31" s="10">
        <f t="shared" si="1"/>
        <v>0</v>
      </c>
      <c r="G31" s="10">
        <f t="shared" si="2"/>
        <v>1.299999999901047E-2</v>
      </c>
      <c r="I31" s="10">
        <f t="shared" ref="I31:I46" si="5">+G31</f>
        <v>1.299999999901047E-2</v>
      </c>
      <c r="Q31" s="12">
        <f t="shared" si="4"/>
        <v>17390.035</v>
      </c>
      <c r="AB31" s="10" t="s">
        <v>28</v>
      </c>
      <c r="AD31" s="10" t="s">
        <v>30</v>
      </c>
    </row>
    <row r="32" spans="1:30" s="10" customFormat="1" x14ac:dyDescent="0.2">
      <c r="A32" s="10" t="s">
        <v>29</v>
      </c>
      <c r="C32" s="11">
        <v>33096.648999999998</v>
      </c>
      <c r="D32" s="11"/>
      <c r="E32" s="10">
        <f t="shared" si="0"/>
        <v>144.99698891778391</v>
      </c>
      <c r="F32" s="10">
        <f t="shared" si="1"/>
        <v>145</v>
      </c>
      <c r="G32" s="10">
        <f t="shared" si="2"/>
        <v>-1.4290000006440096E-2</v>
      </c>
      <c r="I32" s="10">
        <f t="shared" si="5"/>
        <v>-1.4290000006440096E-2</v>
      </c>
      <c r="Q32" s="12">
        <f t="shared" si="4"/>
        <v>18078.148999999998</v>
      </c>
      <c r="AB32" s="10" t="s">
        <v>28</v>
      </c>
      <c r="AD32" s="10" t="s">
        <v>30</v>
      </c>
    </row>
    <row r="33" spans="1:30" s="10" customFormat="1" x14ac:dyDescent="0.2">
      <c r="A33" s="10" t="s">
        <v>29</v>
      </c>
      <c r="C33" s="11">
        <v>33580.730000000003</v>
      </c>
      <c r="D33" s="11"/>
      <c r="E33" s="10">
        <f t="shared" si="0"/>
        <v>246.99892663031503</v>
      </c>
      <c r="F33" s="10">
        <f t="shared" si="1"/>
        <v>247</v>
      </c>
      <c r="G33" s="10">
        <f t="shared" si="2"/>
        <v>-5.0940000000991859E-3</v>
      </c>
      <c r="I33" s="10">
        <f t="shared" si="5"/>
        <v>-5.0940000000991859E-3</v>
      </c>
      <c r="Q33" s="12">
        <f t="shared" si="4"/>
        <v>18562.230000000003</v>
      </c>
      <c r="AB33" s="10" t="s">
        <v>28</v>
      </c>
      <c r="AD33" s="10" t="s">
        <v>30</v>
      </c>
    </row>
    <row r="34" spans="1:30" s="10" customFormat="1" x14ac:dyDescent="0.2">
      <c r="A34" s="10" t="s">
        <v>29</v>
      </c>
      <c r="C34" s="11">
        <v>33618.703000000001</v>
      </c>
      <c r="D34" s="11"/>
      <c r="E34" s="10">
        <f t="shared" si="0"/>
        <v>255.00031396168666</v>
      </c>
      <c r="F34" s="10">
        <f t="shared" si="1"/>
        <v>255</v>
      </c>
      <c r="G34" s="10">
        <f t="shared" si="2"/>
        <v>1.4900000023772009E-3</v>
      </c>
      <c r="I34" s="10">
        <f t="shared" si="5"/>
        <v>1.4900000023772009E-3</v>
      </c>
      <c r="Q34" s="12">
        <f t="shared" si="4"/>
        <v>18600.203000000001</v>
      </c>
      <c r="AB34" s="10" t="s">
        <v>28</v>
      </c>
      <c r="AD34" s="10" t="s">
        <v>30</v>
      </c>
    </row>
    <row r="35" spans="1:30" s="10" customFormat="1" x14ac:dyDescent="0.2">
      <c r="A35" s="10" t="s">
        <v>29</v>
      </c>
      <c r="C35" s="11">
        <v>33922.377999999997</v>
      </c>
      <c r="D35" s="11"/>
      <c r="E35" s="10">
        <f t="shared" si="0"/>
        <v>318.9884449456585</v>
      </c>
      <c r="F35" s="10">
        <f t="shared" si="1"/>
        <v>319</v>
      </c>
      <c r="G35" s="10">
        <f t="shared" si="2"/>
        <v>-5.4838000003655907E-2</v>
      </c>
      <c r="I35" s="10">
        <f t="shared" si="5"/>
        <v>-5.4838000003655907E-2</v>
      </c>
      <c r="Q35" s="12">
        <f t="shared" si="4"/>
        <v>18903.877999999997</v>
      </c>
      <c r="AB35" s="10" t="s">
        <v>28</v>
      </c>
      <c r="AD35" s="10" t="s">
        <v>30</v>
      </c>
    </row>
    <row r="36" spans="1:30" s="10" customFormat="1" x14ac:dyDescent="0.2">
      <c r="A36" s="10" t="s">
        <v>29</v>
      </c>
      <c r="C36" s="11">
        <v>34135.972000000002</v>
      </c>
      <c r="D36" s="11"/>
      <c r="E36" s="10">
        <f t="shared" si="0"/>
        <v>363.99537949539416</v>
      </c>
      <c r="F36" s="10">
        <f t="shared" si="1"/>
        <v>364</v>
      </c>
      <c r="G36" s="10">
        <f t="shared" si="2"/>
        <v>-2.1928000001935288E-2</v>
      </c>
      <c r="I36" s="10">
        <f t="shared" si="5"/>
        <v>-2.1928000001935288E-2</v>
      </c>
      <c r="Q36" s="12">
        <f t="shared" si="4"/>
        <v>19117.472000000002</v>
      </c>
      <c r="AB36" s="10" t="s">
        <v>28</v>
      </c>
      <c r="AD36" s="10" t="s">
        <v>30</v>
      </c>
    </row>
    <row r="37" spans="1:30" s="10" customFormat="1" x14ac:dyDescent="0.2">
      <c r="A37" s="10" t="s">
        <v>29</v>
      </c>
      <c r="C37" s="11">
        <v>34221.497000000003</v>
      </c>
      <c r="D37" s="11"/>
      <c r="E37" s="10">
        <f t="shared" si="0"/>
        <v>382.01656959139933</v>
      </c>
      <c r="F37" s="10">
        <f t="shared" si="1"/>
        <v>382</v>
      </c>
      <c r="G37" s="10">
        <f t="shared" si="2"/>
        <v>7.8636000005644746E-2</v>
      </c>
      <c r="I37" s="10">
        <f t="shared" si="5"/>
        <v>7.8636000005644746E-2</v>
      </c>
      <c r="Q37" s="12">
        <f t="shared" si="4"/>
        <v>19202.997000000003</v>
      </c>
      <c r="AB37" s="10" t="s">
        <v>28</v>
      </c>
      <c r="AD37" s="10" t="s">
        <v>30</v>
      </c>
    </row>
    <row r="38" spans="1:30" s="10" customFormat="1" x14ac:dyDescent="0.2">
      <c r="A38" s="10" t="s">
        <v>29</v>
      </c>
      <c r="C38" s="11">
        <v>34458.586000000003</v>
      </c>
      <c r="D38" s="11"/>
      <c r="E38" s="10">
        <f t="shared" si="0"/>
        <v>431.97419529934075</v>
      </c>
      <c r="F38" s="10">
        <f t="shared" si="1"/>
        <v>432</v>
      </c>
      <c r="G38" s="10">
        <f t="shared" si="2"/>
        <v>-0.12246400000003632</v>
      </c>
      <c r="I38" s="10">
        <f t="shared" si="5"/>
        <v>-0.12246400000003632</v>
      </c>
      <c r="Q38" s="12">
        <f t="shared" si="4"/>
        <v>19440.086000000003</v>
      </c>
      <c r="AB38" s="10" t="s">
        <v>28</v>
      </c>
      <c r="AD38" s="10" t="s">
        <v>30</v>
      </c>
    </row>
    <row r="39" spans="1:30" s="10" customFormat="1" x14ac:dyDescent="0.2">
      <c r="A39" s="10" t="s">
        <v>29</v>
      </c>
      <c r="C39" s="11">
        <v>34501.46</v>
      </c>
      <c r="D39" s="11"/>
      <c r="E39" s="10">
        <f t="shared" si="0"/>
        <v>441.00828479569907</v>
      </c>
      <c r="F39" s="10">
        <f t="shared" si="1"/>
        <v>441</v>
      </c>
      <c r="G39" s="10">
        <f t="shared" si="2"/>
        <v>3.9317999995546415E-2</v>
      </c>
      <c r="I39" s="10">
        <f t="shared" si="5"/>
        <v>3.9317999995546415E-2</v>
      </c>
      <c r="Q39" s="12">
        <f t="shared" si="4"/>
        <v>19482.96</v>
      </c>
      <c r="AB39" s="10" t="s">
        <v>28</v>
      </c>
      <c r="AD39" s="10" t="s">
        <v>30</v>
      </c>
    </row>
    <row r="40" spans="1:30" s="10" customFormat="1" x14ac:dyDescent="0.2">
      <c r="A40" s="10" t="s">
        <v>29</v>
      </c>
      <c r="C40" s="11">
        <v>34591.593999999997</v>
      </c>
      <c r="D40" s="11"/>
      <c r="E40" s="10">
        <f t="shared" si="0"/>
        <v>460.00064899462649</v>
      </c>
      <c r="F40" s="10">
        <f t="shared" si="1"/>
        <v>460</v>
      </c>
      <c r="G40" s="10">
        <f t="shared" si="2"/>
        <v>3.0799999949522316E-3</v>
      </c>
      <c r="I40" s="10">
        <f t="shared" si="5"/>
        <v>3.0799999949522316E-3</v>
      </c>
      <c r="Q40" s="12">
        <f t="shared" si="4"/>
        <v>19573.093999999997</v>
      </c>
      <c r="AB40" s="10" t="s">
        <v>28</v>
      </c>
      <c r="AD40" s="10" t="s">
        <v>30</v>
      </c>
    </row>
    <row r="41" spans="1:30" s="10" customFormat="1" x14ac:dyDescent="0.2">
      <c r="A41" s="10" t="s">
        <v>29</v>
      </c>
      <c r="C41" s="11">
        <v>35075.673999999999</v>
      </c>
      <c r="D41" s="11"/>
      <c r="E41" s="10">
        <f t="shared" si="0"/>
        <v>562.00237599461548</v>
      </c>
      <c r="F41" s="10">
        <f t="shared" si="1"/>
        <v>562</v>
      </c>
      <c r="G41" s="10">
        <f t="shared" si="2"/>
        <v>1.1275999997451436E-2</v>
      </c>
      <c r="I41" s="10">
        <f t="shared" si="5"/>
        <v>1.1275999997451436E-2</v>
      </c>
      <c r="Q41" s="12">
        <f t="shared" si="4"/>
        <v>20057.173999999999</v>
      </c>
      <c r="AB41" s="10" t="s">
        <v>28</v>
      </c>
      <c r="AD41" s="10" t="s">
        <v>30</v>
      </c>
    </row>
    <row r="42" spans="1:30" x14ac:dyDescent="0.2">
      <c r="A42" s="54" t="s">
        <v>107</v>
      </c>
      <c r="B42" s="56" t="s">
        <v>35</v>
      </c>
      <c r="C42" s="55">
        <v>35075.675000000003</v>
      </c>
      <c r="D42" s="55" t="s">
        <v>61</v>
      </c>
      <c r="E42" s="10">
        <f t="shared" si="0"/>
        <v>562.00258670715755</v>
      </c>
      <c r="F42" s="10">
        <f t="shared" si="1"/>
        <v>562</v>
      </c>
      <c r="G42" s="10">
        <f t="shared" si="2"/>
        <v>1.2276000001293141E-2</v>
      </c>
      <c r="H42" s="10"/>
      <c r="I42" s="10">
        <f t="shared" si="5"/>
        <v>1.2276000001293141E-2</v>
      </c>
      <c r="J42" s="10"/>
      <c r="K42" s="10"/>
      <c r="L42" s="10"/>
      <c r="M42" s="10"/>
      <c r="N42" s="10"/>
      <c r="O42" s="10"/>
      <c r="P42" s="10"/>
      <c r="Q42" s="12">
        <f t="shared" si="4"/>
        <v>20057.175000000003</v>
      </c>
      <c r="R42" s="10"/>
    </row>
    <row r="43" spans="1:30" s="10" customFormat="1" x14ac:dyDescent="0.2">
      <c r="A43" s="10" t="s">
        <v>29</v>
      </c>
      <c r="C43" s="11">
        <v>36029.569000000003</v>
      </c>
      <c r="D43" s="11"/>
      <c r="E43" s="10">
        <f t="shared" si="0"/>
        <v>763.00001559272846</v>
      </c>
      <c r="F43" s="10">
        <f t="shared" si="1"/>
        <v>763</v>
      </c>
      <c r="G43" s="10">
        <f t="shared" si="2"/>
        <v>7.4000003223773092E-5</v>
      </c>
      <c r="I43" s="10">
        <f t="shared" si="5"/>
        <v>7.4000003223773092E-5</v>
      </c>
      <c r="Q43" s="12">
        <f t="shared" si="4"/>
        <v>21011.069000000003</v>
      </c>
      <c r="AB43" s="10" t="s">
        <v>28</v>
      </c>
      <c r="AD43" s="10" t="s">
        <v>30</v>
      </c>
    </row>
    <row r="44" spans="1:30" s="10" customFormat="1" x14ac:dyDescent="0.2">
      <c r="A44" s="10" t="s">
        <v>29</v>
      </c>
      <c r="C44" s="11">
        <v>36138.720999999998</v>
      </c>
      <c r="D44" s="11"/>
      <c r="E44" s="10">
        <f t="shared" si="0"/>
        <v>785.99971090239262</v>
      </c>
      <c r="F44" s="10">
        <f t="shared" si="1"/>
        <v>786</v>
      </c>
      <c r="G44" s="10">
        <f t="shared" si="2"/>
        <v>-1.3720000060857274E-3</v>
      </c>
      <c r="I44" s="10">
        <f t="shared" si="5"/>
        <v>-1.3720000060857274E-3</v>
      </c>
      <c r="Q44" s="12">
        <f t="shared" si="4"/>
        <v>21120.220999999998</v>
      </c>
      <c r="AB44" s="10" t="s">
        <v>28</v>
      </c>
      <c r="AD44" s="10" t="s">
        <v>30</v>
      </c>
    </row>
    <row r="45" spans="1:30" s="10" customFormat="1" x14ac:dyDescent="0.2">
      <c r="A45" s="31" t="s">
        <v>29</v>
      </c>
      <c r="B45" s="31"/>
      <c r="C45" s="32">
        <v>47006.368000000002</v>
      </c>
      <c r="D45" s="32"/>
      <c r="E45" s="10">
        <f t="shared" si="0"/>
        <v>3075.9492283917452</v>
      </c>
      <c r="F45" s="10">
        <f t="shared" si="1"/>
        <v>3076</v>
      </c>
      <c r="G45" s="10">
        <f t="shared" si="2"/>
        <v>-0.24095200000010664</v>
      </c>
      <c r="I45" s="10">
        <f t="shared" si="5"/>
        <v>-0.24095200000010664</v>
      </c>
      <c r="Q45" s="12">
        <f t="shared" si="4"/>
        <v>31987.868000000002</v>
      </c>
      <c r="AA45" s="10" t="s">
        <v>31</v>
      </c>
      <c r="AB45" s="10" t="s">
        <v>32</v>
      </c>
      <c r="AD45" s="10" t="s">
        <v>30</v>
      </c>
    </row>
    <row r="46" spans="1:30" s="10" customFormat="1" x14ac:dyDescent="0.2">
      <c r="A46" s="31" t="s">
        <v>29</v>
      </c>
      <c r="B46" s="31"/>
      <c r="C46" s="32">
        <v>47039.587</v>
      </c>
      <c r="D46" s="32"/>
      <c r="E46" s="10">
        <f t="shared" si="0"/>
        <v>3082.9488883017029</v>
      </c>
      <c r="F46" s="10">
        <f t="shared" si="1"/>
        <v>3083</v>
      </c>
      <c r="G46" s="10">
        <f t="shared" si="2"/>
        <v>-0.24256600000080653</v>
      </c>
      <c r="I46" s="10">
        <f t="shared" si="5"/>
        <v>-0.24256600000080653</v>
      </c>
      <c r="O46" s="10">
        <f t="shared" ref="O46:O53" ca="1" si="6">+C$11+C$12*F46</f>
        <v>-0.36123826917480506</v>
      </c>
      <c r="Q46" s="12">
        <f t="shared" si="4"/>
        <v>32021.087</v>
      </c>
      <c r="AA46" s="10" t="s">
        <v>31</v>
      </c>
      <c r="AB46" s="10" t="s">
        <v>32</v>
      </c>
      <c r="AD46" s="10" t="s">
        <v>30</v>
      </c>
    </row>
    <row r="47" spans="1:30" s="10" customFormat="1" x14ac:dyDescent="0.2">
      <c r="A47" s="31" t="s">
        <v>36</v>
      </c>
      <c r="B47" s="31"/>
      <c r="C47" s="32">
        <v>51016.551599999999</v>
      </c>
      <c r="D47" s="32">
        <v>1.5E-3</v>
      </c>
      <c r="E47" s="10">
        <f t="shared" si="0"/>
        <v>3920.9452058893307</v>
      </c>
      <c r="F47" s="10">
        <f t="shared" si="1"/>
        <v>3921</v>
      </c>
      <c r="G47" s="10">
        <f t="shared" si="2"/>
        <v>-0.26004200000170385</v>
      </c>
      <c r="K47" s="10">
        <f>+G47</f>
        <v>-0.26004200000170385</v>
      </c>
      <c r="O47" s="10">
        <f t="shared" ca="1" si="6"/>
        <v>-0.29604626242264276</v>
      </c>
      <c r="Q47" s="12">
        <f t="shared" si="4"/>
        <v>35998.051599999999</v>
      </c>
    </row>
    <row r="48" spans="1:30" s="10" customFormat="1" x14ac:dyDescent="0.2">
      <c r="A48" s="31" t="s">
        <v>34</v>
      </c>
      <c r="B48" s="31" t="s">
        <v>35</v>
      </c>
      <c r="C48" s="33">
        <v>51277.566299999999</v>
      </c>
      <c r="D48" s="33">
        <v>1.9E-3</v>
      </c>
      <c r="E48" s="10">
        <f t="shared" si="0"/>
        <v>3975.9442766470233</v>
      </c>
      <c r="F48" s="10">
        <f t="shared" si="1"/>
        <v>3976</v>
      </c>
      <c r="G48" s="10">
        <f t="shared" si="2"/>
        <v>-0.26445200000307523</v>
      </c>
      <c r="K48" s="10">
        <f>+G48</f>
        <v>-0.26445200000307523</v>
      </c>
      <c r="O48" s="10">
        <f t="shared" ca="1" si="6"/>
        <v>-0.29176755076229793</v>
      </c>
      <c r="Q48" s="12">
        <f t="shared" si="4"/>
        <v>36259.066299999999</v>
      </c>
    </row>
    <row r="49" spans="1:18" s="10" customFormat="1" x14ac:dyDescent="0.2">
      <c r="A49" s="34" t="s">
        <v>40</v>
      </c>
      <c r="B49" s="35" t="s">
        <v>35</v>
      </c>
      <c r="C49" s="34">
        <v>54974.578999999998</v>
      </c>
      <c r="D49" s="34">
        <v>1E-3</v>
      </c>
      <c r="E49" s="10">
        <f t="shared" si="0"/>
        <v>4754.9512179395588</v>
      </c>
      <c r="F49" s="10">
        <f t="shared" si="1"/>
        <v>4755</v>
      </c>
      <c r="G49" s="10">
        <f t="shared" si="2"/>
        <v>-0.23151000000507338</v>
      </c>
      <c r="K49" s="10">
        <f>+G49</f>
        <v>-0.23151000000507338</v>
      </c>
      <c r="O49" s="10">
        <f t="shared" ca="1" si="6"/>
        <v>-0.23116543470032369</v>
      </c>
      <c r="Q49" s="12">
        <f t="shared" si="4"/>
        <v>39956.078999999998</v>
      </c>
    </row>
    <row r="50" spans="1:18" x14ac:dyDescent="0.2">
      <c r="A50" s="54" t="s">
        <v>170</v>
      </c>
      <c r="B50" s="56" t="s">
        <v>35</v>
      </c>
      <c r="C50" s="55">
        <v>55050.513400000003</v>
      </c>
      <c r="D50" s="55" t="s">
        <v>61</v>
      </c>
      <c r="E50" s="10">
        <f t="shared" si="0"/>
        <v>4770.951548336825</v>
      </c>
      <c r="F50" s="10">
        <f t="shared" si="1"/>
        <v>4771</v>
      </c>
      <c r="G50" s="10">
        <f t="shared" si="2"/>
        <v>-0.22994199999811826</v>
      </c>
      <c r="H50" s="10"/>
      <c r="I50" s="10">
        <f>+G50</f>
        <v>-0.22994199999811826</v>
      </c>
      <c r="J50" s="10"/>
      <c r="L50" s="10"/>
      <c r="M50" s="10"/>
      <c r="N50" s="10"/>
      <c r="O50" s="10">
        <f t="shared" ca="1" si="6"/>
        <v>-0.22992071858095064</v>
      </c>
      <c r="P50" s="10"/>
      <c r="Q50" s="12">
        <f t="shared" si="4"/>
        <v>40032.013400000003</v>
      </c>
      <c r="R50" s="10"/>
    </row>
    <row r="51" spans="1:18" s="10" customFormat="1" x14ac:dyDescent="0.2">
      <c r="A51" s="39" t="s">
        <v>51</v>
      </c>
      <c r="B51" s="39"/>
      <c r="C51" s="40">
        <v>55387.471700000002</v>
      </c>
      <c r="D51" s="40">
        <v>2.8E-3</v>
      </c>
      <c r="E51" s="10">
        <f t="shared" si="0"/>
        <v>4841.9528880471626</v>
      </c>
      <c r="F51" s="10">
        <f t="shared" si="1"/>
        <v>4842</v>
      </c>
      <c r="G51" s="10">
        <f t="shared" si="2"/>
        <v>-0.22358399999939138</v>
      </c>
      <c r="J51" s="10">
        <f>+G51</f>
        <v>-0.22358399999939138</v>
      </c>
      <c r="O51" s="10">
        <f t="shared" ca="1" si="6"/>
        <v>-0.22439729080123288</v>
      </c>
      <c r="Q51" s="12">
        <f t="shared" si="4"/>
        <v>40368.971700000002</v>
      </c>
    </row>
    <row r="52" spans="1:18" s="10" customFormat="1" x14ac:dyDescent="0.2">
      <c r="A52" s="34" t="s">
        <v>49</v>
      </c>
      <c r="B52" s="35" t="s">
        <v>35</v>
      </c>
      <c r="C52" s="34">
        <v>55686.460899999998</v>
      </c>
      <c r="D52" s="34">
        <v>2.3999999999999998E-3</v>
      </c>
      <c r="E52" s="10">
        <f t="shared" si="0"/>
        <v>4904.9536622050382</v>
      </c>
      <c r="F52" s="10">
        <f t="shared" si="1"/>
        <v>4905</v>
      </c>
      <c r="G52" s="10">
        <f t="shared" si="2"/>
        <v>-0.21991000000707572</v>
      </c>
      <c r="J52" s="10">
        <f>+G52</f>
        <v>-0.21991000000707572</v>
      </c>
      <c r="O52" s="10">
        <f t="shared" ca="1" si="6"/>
        <v>-0.21949622108120159</v>
      </c>
      <c r="Q52" s="12">
        <f t="shared" si="4"/>
        <v>40667.960899999998</v>
      </c>
    </row>
    <row r="53" spans="1:18" s="10" customFormat="1" x14ac:dyDescent="0.2">
      <c r="A53" s="36" t="s">
        <v>50</v>
      </c>
      <c r="B53" s="37" t="s">
        <v>35</v>
      </c>
      <c r="C53" s="38">
        <v>56151.557500000003</v>
      </c>
      <c r="D53" s="38">
        <v>1.9E-3</v>
      </c>
      <c r="E53" s="10">
        <f t="shared" si="0"/>
        <v>5002.9553487482199</v>
      </c>
      <c r="F53" s="10">
        <f t="shared" si="1"/>
        <v>5003</v>
      </c>
      <c r="G53" s="10">
        <f t="shared" si="2"/>
        <v>-0.21190600000409177</v>
      </c>
      <c r="J53" s="10">
        <f>+G53</f>
        <v>-0.21190600000409177</v>
      </c>
      <c r="O53" s="10">
        <f t="shared" ca="1" si="6"/>
        <v>-0.21187233485004175</v>
      </c>
      <c r="Q53" s="12">
        <f t="shared" si="4"/>
        <v>41133.057500000003</v>
      </c>
    </row>
    <row r="54" spans="1:18" x14ac:dyDescent="0.2">
      <c r="C54" s="9"/>
      <c r="D54" s="9"/>
    </row>
    <row r="55" spans="1:18" x14ac:dyDescent="0.2">
      <c r="C55" s="9"/>
      <c r="D55" s="9"/>
    </row>
    <row r="56" spans="1:18" x14ac:dyDescent="0.2">
      <c r="C56" s="9"/>
      <c r="D56" s="9"/>
    </row>
    <row r="57" spans="1:18" x14ac:dyDescent="0.2">
      <c r="C57" s="9"/>
      <c r="D57" s="9"/>
    </row>
    <row r="58" spans="1:18" x14ac:dyDescent="0.2">
      <c r="C58" s="9"/>
      <c r="D58" s="9"/>
    </row>
    <row r="59" spans="1:18" x14ac:dyDescent="0.2">
      <c r="C59" s="9"/>
      <c r="D59" s="9"/>
    </row>
    <row r="60" spans="1:18" x14ac:dyDescent="0.2">
      <c r="C60" s="9"/>
      <c r="D60" s="9"/>
    </row>
    <row r="61" spans="1:18" x14ac:dyDescent="0.2">
      <c r="C61" s="9"/>
      <c r="D61" s="9"/>
    </row>
    <row r="62" spans="1:18" x14ac:dyDescent="0.2">
      <c r="C62" s="9"/>
      <c r="D62" s="9"/>
    </row>
    <row r="63" spans="1:18" x14ac:dyDescent="0.2">
      <c r="C63" s="9"/>
      <c r="D63" s="9"/>
    </row>
    <row r="64" spans="1:18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2"/>
  <sheetViews>
    <sheetView workbookViewId="0">
      <selection activeCell="A39" sqref="A39:D41"/>
    </sheetView>
  </sheetViews>
  <sheetFormatPr defaultRowHeight="12.75" x14ac:dyDescent="0.2"/>
  <cols>
    <col min="1" max="1" width="19.7109375" style="9" customWidth="1"/>
    <col min="2" max="2" width="4.42578125" style="14" customWidth="1"/>
    <col min="3" max="3" width="12.7109375" style="9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9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1" t="s">
        <v>52</v>
      </c>
      <c r="I1" s="42" t="s">
        <v>53</v>
      </c>
      <c r="J1" s="43" t="s">
        <v>54</v>
      </c>
    </row>
    <row r="2" spans="1:16" x14ac:dyDescent="0.2">
      <c r="I2" s="44" t="s">
        <v>55</v>
      </c>
      <c r="J2" s="45" t="s">
        <v>56</v>
      </c>
    </row>
    <row r="3" spans="1:16" x14ac:dyDescent="0.2">
      <c r="A3" s="46" t="s">
        <v>57</v>
      </c>
      <c r="I3" s="44" t="s">
        <v>58</v>
      </c>
      <c r="J3" s="45" t="s">
        <v>28</v>
      </c>
    </row>
    <row r="4" spans="1:16" x14ac:dyDescent="0.2">
      <c r="I4" s="44" t="s">
        <v>59</v>
      </c>
      <c r="J4" s="45" t="s">
        <v>28</v>
      </c>
    </row>
    <row r="5" spans="1:16" ht="13.5" thickBot="1" x14ac:dyDescent="0.25">
      <c r="I5" s="47" t="s">
        <v>60</v>
      </c>
      <c r="J5" s="48" t="s">
        <v>61</v>
      </c>
    </row>
    <row r="10" spans="1:16" ht="13.5" thickBot="1" x14ac:dyDescent="0.25"/>
    <row r="11" spans="1:16" ht="12.75" customHeight="1" thickBot="1" x14ac:dyDescent="0.25">
      <c r="A11" s="9" t="str">
        <f t="shared" ref="A11:A41" si="0">P11</f>
        <v> KVBB 24.87 </v>
      </c>
      <c r="B11" s="17" t="str">
        <f t="shared" ref="B11:B41" si="1">IF(H11=INT(H11),"I","II")</f>
        <v>I</v>
      </c>
      <c r="C11" s="9">
        <f t="shared" ref="C11:C41" si="2">1*G11</f>
        <v>25650.685000000001</v>
      </c>
      <c r="D11" s="14" t="str">
        <f t="shared" ref="D11:D41" si="3">VLOOKUP(F11,I$1:J$5,2,FALSE)</f>
        <v>vis</v>
      </c>
      <c r="E11" s="49">
        <f>VLOOKUP(C11,Active!C$21:E$973,3,FALSE)</f>
        <v>-1423.9610080656544</v>
      </c>
      <c r="F11" s="17" t="s">
        <v>60</v>
      </c>
      <c r="G11" s="14" t="str">
        <f t="shared" ref="G11:G41" si="4">MID(I11,3,LEN(I11)-3)</f>
        <v>25650.685</v>
      </c>
      <c r="H11" s="9">
        <f t="shared" ref="H11:H41" si="5">1*K11</f>
        <v>-1424</v>
      </c>
      <c r="I11" s="50" t="s">
        <v>69</v>
      </c>
      <c r="J11" s="51" t="s">
        <v>70</v>
      </c>
      <c r="K11" s="50">
        <v>-1424</v>
      </c>
      <c r="L11" s="50" t="s">
        <v>71</v>
      </c>
      <c r="M11" s="51" t="s">
        <v>66</v>
      </c>
      <c r="N11" s="51"/>
      <c r="O11" s="52" t="s">
        <v>67</v>
      </c>
      <c r="P11" s="52" t="s">
        <v>68</v>
      </c>
    </row>
    <row r="12" spans="1:16" ht="12.75" customHeight="1" thickBot="1" x14ac:dyDescent="0.25">
      <c r="A12" s="9" t="str">
        <f t="shared" si="0"/>
        <v> KVBB 24.87 </v>
      </c>
      <c r="B12" s="17" t="str">
        <f t="shared" si="1"/>
        <v>I</v>
      </c>
      <c r="C12" s="9">
        <f t="shared" si="2"/>
        <v>25764.51</v>
      </c>
      <c r="D12" s="14" t="str">
        <f t="shared" si="3"/>
        <v>vis</v>
      </c>
      <c r="E12" s="49">
        <f>VLOOKUP(C12,Active!C$21:E$973,3,FALSE)</f>
        <v>-1399.9766530504228</v>
      </c>
      <c r="F12" s="17" t="s">
        <v>60</v>
      </c>
      <c r="G12" s="14" t="str">
        <f t="shared" si="4"/>
        <v>25764.510</v>
      </c>
      <c r="H12" s="9">
        <f t="shared" si="5"/>
        <v>-1400</v>
      </c>
      <c r="I12" s="50" t="s">
        <v>72</v>
      </c>
      <c r="J12" s="51" t="s">
        <v>73</v>
      </c>
      <c r="K12" s="50">
        <v>-1400</v>
      </c>
      <c r="L12" s="50" t="s">
        <v>74</v>
      </c>
      <c r="M12" s="51" t="s">
        <v>66</v>
      </c>
      <c r="N12" s="51"/>
      <c r="O12" s="52" t="s">
        <v>67</v>
      </c>
      <c r="P12" s="52" t="s">
        <v>68</v>
      </c>
    </row>
    <row r="13" spans="1:16" ht="12.75" customHeight="1" thickBot="1" x14ac:dyDescent="0.25">
      <c r="A13" s="9" t="str">
        <f t="shared" si="0"/>
        <v> KVBB 24.87 </v>
      </c>
      <c r="B13" s="17" t="str">
        <f t="shared" si="1"/>
        <v>I</v>
      </c>
      <c r="C13" s="9">
        <f t="shared" si="2"/>
        <v>27297.506000000001</v>
      </c>
      <c r="D13" s="14" t="str">
        <f t="shared" si="3"/>
        <v>vis</v>
      </c>
      <c r="E13" s="49">
        <f>VLOOKUP(C13,Active!C$21:E$973,3,FALSE)</f>
        <v>-1076.9551700639847</v>
      </c>
      <c r="F13" s="17" t="s">
        <v>60</v>
      </c>
      <c r="G13" s="14" t="str">
        <f t="shared" si="4"/>
        <v>27297.506</v>
      </c>
      <c r="H13" s="9">
        <f t="shared" si="5"/>
        <v>-1077</v>
      </c>
      <c r="I13" s="50" t="s">
        <v>75</v>
      </c>
      <c r="J13" s="51" t="s">
        <v>76</v>
      </c>
      <c r="K13" s="50">
        <v>-1077</v>
      </c>
      <c r="L13" s="50" t="s">
        <v>77</v>
      </c>
      <c r="M13" s="51" t="s">
        <v>66</v>
      </c>
      <c r="N13" s="51"/>
      <c r="O13" s="52" t="s">
        <v>67</v>
      </c>
      <c r="P13" s="52" t="s">
        <v>68</v>
      </c>
    </row>
    <row r="14" spans="1:16" ht="12.75" customHeight="1" thickBot="1" x14ac:dyDescent="0.25">
      <c r="A14" s="9" t="str">
        <f t="shared" si="0"/>
        <v> PZ 8.310 </v>
      </c>
      <c r="B14" s="17" t="str">
        <f t="shared" si="1"/>
        <v>I</v>
      </c>
      <c r="C14" s="9">
        <f t="shared" si="2"/>
        <v>28754.305</v>
      </c>
      <c r="D14" s="14" t="str">
        <f t="shared" si="3"/>
        <v>vis</v>
      </c>
      <c r="E14" s="49">
        <f>VLOOKUP(C14,Active!C$21:E$973,3,FALSE)</f>
        <v>-769.98935058816198</v>
      </c>
      <c r="F14" s="17" t="s">
        <v>60</v>
      </c>
      <c r="G14" s="14" t="str">
        <f t="shared" si="4"/>
        <v>28754.305</v>
      </c>
      <c r="H14" s="9">
        <f t="shared" si="5"/>
        <v>-770</v>
      </c>
      <c r="I14" s="50" t="s">
        <v>78</v>
      </c>
      <c r="J14" s="51" t="s">
        <v>79</v>
      </c>
      <c r="K14" s="50">
        <v>-770</v>
      </c>
      <c r="L14" s="50" t="s">
        <v>80</v>
      </c>
      <c r="M14" s="51" t="s">
        <v>62</v>
      </c>
      <c r="N14" s="51"/>
      <c r="O14" s="52" t="s">
        <v>81</v>
      </c>
      <c r="P14" s="52" t="s">
        <v>82</v>
      </c>
    </row>
    <row r="15" spans="1:16" ht="12.75" customHeight="1" thickBot="1" x14ac:dyDescent="0.25">
      <c r="A15" s="9" t="str">
        <f t="shared" si="0"/>
        <v> KVBB 24.87 </v>
      </c>
      <c r="B15" s="17" t="str">
        <f t="shared" si="1"/>
        <v>I</v>
      </c>
      <c r="C15" s="9">
        <f t="shared" si="2"/>
        <v>29086.5</v>
      </c>
      <c r="D15" s="14" t="str">
        <f t="shared" si="3"/>
        <v>vis</v>
      </c>
      <c r="E15" s="49">
        <f>VLOOKUP(C15,Active!C$21:E$973,3,FALSE)</f>
        <v>-699.99169792587236</v>
      </c>
      <c r="F15" s="17" t="s">
        <v>60</v>
      </c>
      <c r="G15" s="14" t="str">
        <f t="shared" si="4"/>
        <v>29086.500</v>
      </c>
      <c r="H15" s="9">
        <f t="shared" si="5"/>
        <v>-700</v>
      </c>
      <c r="I15" s="50" t="s">
        <v>83</v>
      </c>
      <c r="J15" s="51" t="s">
        <v>84</v>
      </c>
      <c r="K15" s="50">
        <v>-700</v>
      </c>
      <c r="L15" s="50" t="s">
        <v>85</v>
      </c>
      <c r="M15" s="51" t="s">
        <v>86</v>
      </c>
      <c r="N15" s="51"/>
      <c r="O15" s="52" t="s">
        <v>67</v>
      </c>
      <c r="P15" s="52" t="s">
        <v>68</v>
      </c>
    </row>
    <row r="16" spans="1:16" ht="12.75" customHeight="1" thickBot="1" x14ac:dyDescent="0.25">
      <c r="A16" s="9" t="str">
        <f t="shared" si="0"/>
        <v> KVBB 24.87 </v>
      </c>
      <c r="B16" s="17" t="str">
        <f t="shared" si="1"/>
        <v>I</v>
      </c>
      <c r="C16" s="9">
        <f t="shared" si="2"/>
        <v>29105.5</v>
      </c>
      <c r="D16" s="14" t="str">
        <f t="shared" si="3"/>
        <v>vis</v>
      </c>
      <c r="E16" s="49">
        <f>VLOOKUP(C16,Active!C$21:E$973,3,FALSE)</f>
        <v>-695.98815964087851</v>
      </c>
      <c r="F16" s="17" t="s">
        <v>60</v>
      </c>
      <c r="G16" s="14" t="str">
        <f t="shared" si="4"/>
        <v>29105.500</v>
      </c>
      <c r="H16" s="9">
        <f t="shared" si="5"/>
        <v>-696</v>
      </c>
      <c r="I16" s="50" t="s">
        <v>87</v>
      </c>
      <c r="J16" s="51" t="s">
        <v>88</v>
      </c>
      <c r="K16" s="50">
        <v>-696</v>
      </c>
      <c r="L16" s="50" t="s">
        <v>89</v>
      </c>
      <c r="M16" s="51" t="s">
        <v>86</v>
      </c>
      <c r="N16" s="51"/>
      <c r="O16" s="52" t="s">
        <v>67</v>
      </c>
      <c r="P16" s="52" t="s">
        <v>68</v>
      </c>
    </row>
    <row r="17" spans="1:16" ht="12.75" customHeight="1" thickBot="1" x14ac:dyDescent="0.25">
      <c r="A17" s="9" t="str">
        <f t="shared" si="0"/>
        <v> KVBB 24.87 </v>
      </c>
      <c r="B17" s="17" t="str">
        <f t="shared" si="1"/>
        <v>I</v>
      </c>
      <c r="C17" s="9">
        <f t="shared" si="2"/>
        <v>29124.402999999998</v>
      </c>
      <c r="D17" s="14" t="str">
        <f t="shared" si="3"/>
        <v>vis</v>
      </c>
      <c r="E17" s="49">
        <f>VLOOKUP(C17,Active!C$21:E$973,3,FALSE)</f>
        <v>-692.00506047239264</v>
      </c>
      <c r="F17" s="17" t="s">
        <v>60</v>
      </c>
      <c r="G17" s="14" t="str">
        <f t="shared" si="4"/>
        <v>29124.403</v>
      </c>
      <c r="H17" s="9">
        <f t="shared" si="5"/>
        <v>-692</v>
      </c>
      <c r="I17" s="50" t="s">
        <v>90</v>
      </c>
      <c r="J17" s="51" t="s">
        <v>91</v>
      </c>
      <c r="K17" s="50">
        <v>-692</v>
      </c>
      <c r="L17" s="50" t="s">
        <v>92</v>
      </c>
      <c r="M17" s="51" t="s">
        <v>86</v>
      </c>
      <c r="N17" s="51"/>
      <c r="O17" s="52" t="s">
        <v>67</v>
      </c>
      <c r="P17" s="52" t="s">
        <v>68</v>
      </c>
    </row>
    <row r="18" spans="1:16" ht="12.75" customHeight="1" thickBot="1" x14ac:dyDescent="0.25">
      <c r="A18" s="9" t="str">
        <f t="shared" si="0"/>
        <v> KVBB 24.87 </v>
      </c>
      <c r="B18" s="17" t="str">
        <f t="shared" si="1"/>
        <v>I</v>
      </c>
      <c r="C18" s="9">
        <f t="shared" si="2"/>
        <v>29143.46</v>
      </c>
      <c r="D18" s="14" t="str">
        <f t="shared" si="3"/>
        <v>vis</v>
      </c>
      <c r="E18" s="49">
        <f>VLOOKUP(C18,Active!C$21:E$973,3,FALSE)</f>
        <v>-687.98951157254385</v>
      </c>
      <c r="F18" s="17" t="s">
        <v>60</v>
      </c>
      <c r="G18" s="14" t="str">
        <f t="shared" si="4"/>
        <v>29143.460</v>
      </c>
      <c r="H18" s="9">
        <f t="shared" si="5"/>
        <v>-688</v>
      </c>
      <c r="I18" s="50" t="s">
        <v>93</v>
      </c>
      <c r="J18" s="51" t="s">
        <v>94</v>
      </c>
      <c r="K18" s="50">
        <v>-688</v>
      </c>
      <c r="L18" s="50" t="s">
        <v>95</v>
      </c>
      <c r="M18" s="51" t="s">
        <v>86</v>
      </c>
      <c r="N18" s="51"/>
      <c r="O18" s="52" t="s">
        <v>67</v>
      </c>
      <c r="P18" s="52" t="s">
        <v>68</v>
      </c>
    </row>
    <row r="19" spans="1:16" ht="12.75" customHeight="1" thickBot="1" x14ac:dyDescent="0.25">
      <c r="A19" s="9" t="str">
        <f t="shared" si="0"/>
        <v> AJ 55.231 </v>
      </c>
      <c r="B19" s="17" t="str">
        <f t="shared" si="1"/>
        <v>I</v>
      </c>
      <c r="C19" s="9">
        <f t="shared" si="2"/>
        <v>32408.535</v>
      </c>
      <c r="D19" s="14" t="str">
        <f t="shared" si="3"/>
        <v>vis</v>
      </c>
      <c r="E19" s="49">
        <f>VLOOKUP(C19,Active!C$21:E$973,3,FALSE)</f>
        <v>2.7392630368924934E-3</v>
      </c>
      <c r="F19" s="17" t="s">
        <v>60</v>
      </c>
      <c r="G19" s="14" t="str">
        <f t="shared" si="4"/>
        <v>32408.535</v>
      </c>
      <c r="H19" s="9">
        <f t="shared" si="5"/>
        <v>0</v>
      </c>
      <c r="I19" s="50" t="s">
        <v>96</v>
      </c>
      <c r="J19" s="51" t="s">
        <v>97</v>
      </c>
      <c r="K19" s="50">
        <v>0</v>
      </c>
      <c r="L19" s="50" t="s">
        <v>98</v>
      </c>
      <c r="M19" s="51" t="s">
        <v>62</v>
      </c>
      <c r="N19" s="51"/>
      <c r="O19" s="52" t="s">
        <v>99</v>
      </c>
      <c r="P19" s="52" t="s">
        <v>100</v>
      </c>
    </row>
    <row r="20" spans="1:16" ht="12.75" customHeight="1" thickBot="1" x14ac:dyDescent="0.25">
      <c r="A20" s="9" t="str">
        <f t="shared" si="0"/>
        <v> AJ 55.231 </v>
      </c>
      <c r="B20" s="17" t="str">
        <f t="shared" si="1"/>
        <v>I</v>
      </c>
      <c r="C20" s="9">
        <f t="shared" si="2"/>
        <v>33096.648999999998</v>
      </c>
      <c r="D20" s="14" t="str">
        <f t="shared" si="3"/>
        <v>vis</v>
      </c>
      <c r="E20" s="49">
        <f>VLOOKUP(C20,Active!C$21:E$973,3,FALSE)</f>
        <v>144.99698891778391</v>
      </c>
      <c r="F20" s="17" t="s">
        <v>60</v>
      </c>
      <c r="G20" s="14" t="str">
        <f t="shared" si="4"/>
        <v>33096.649</v>
      </c>
      <c r="H20" s="9">
        <f t="shared" si="5"/>
        <v>145</v>
      </c>
      <c r="I20" s="50" t="s">
        <v>101</v>
      </c>
      <c r="J20" s="51" t="s">
        <v>102</v>
      </c>
      <c r="K20" s="50">
        <v>145</v>
      </c>
      <c r="L20" s="50" t="s">
        <v>103</v>
      </c>
      <c r="M20" s="51" t="s">
        <v>62</v>
      </c>
      <c r="N20" s="51"/>
      <c r="O20" s="52" t="s">
        <v>99</v>
      </c>
      <c r="P20" s="52" t="s">
        <v>100</v>
      </c>
    </row>
    <row r="21" spans="1:16" ht="12.75" customHeight="1" thickBot="1" x14ac:dyDescent="0.25">
      <c r="A21" s="9" t="str">
        <f t="shared" si="0"/>
        <v> AJ 64.263 </v>
      </c>
      <c r="B21" s="17" t="str">
        <f t="shared" si="1"/>
        <v>I</v>
      </c>
      <c r="C21" s="9">
        <f t="shared" si="2"/>
        <v>33580.730000000003</v>
      </c>
      <c r="D21" s="14" t="str">
        <f t="shared" si="3"/>
        <v>vis</v>
      </c>
      <c r="E21" s="49">
        <f>VLOOKUP(C21,Active!C$21:E$973,3,FALSE)</f>
        <v>246.99892663031503</v>
      </c>
      <c r="F21" s="17" t="s">
        <v>60</v>
      </c>
      <c r="G21" s="14" t="str">
        <f t="shared" si="4"/>
        <v>33580.730</v>
      </c>
      <c r="H21" s="9">
        <f t="shared" si="5"/>
        <v>247</v>
      </c>
      <c r="I21" s="50" t="s">
        <v>104</v>
      </c>
      <c r="J21" s="51" t="s">
        <v>105</v>
      </c>
      <c r="K21" s="50">
        <v>247</v>
      </c>
      <c r="L21" s="50" t="s">
        <v>106</v>
      </c>
      <c r="M21" s="51" t="s">
        <v>62</v>
      </c>
      <c r="N21" s="51"/>
      <c r="O21" s="52" t="s">
        <v>99</v>
      </c>
      <c r="P21" s="52" t="s">
        <v>107</v>
      </c>
    </row>
    <row r="22" spans="1:16" ht="12.75" customHeight="1" thickBot="1" x14ac:dyDescent="0.25">
      <c r="A22" s="9" t="str">
        <f t="shared" si="0"/>
        <v> AJ 64.263 </v>
      </c>
      <c r="B22" s="17" t="str">
        <f t="shared" si="1"/>
        <v>I</v>
      </c>
      <c r="C22" s="9">
        <f t="shared" si="2"/>
        <v>33618.703000000001</v>
      </c>
      <c r="D22" s="14" t="str">
        <f t="shared" si="3"/>
        <v>vis</v>
      </c>
      <c r="E22" s="49">
        <f>VLOOKUP(C22,Active!C$21:E$973,3,FALSE)</f>
        <v>255.00031396168666</v>
      </c>
      <c r="F22" s="17" t="s">
        <v>60</v>
      </c>
      <c r="G22" s="14" t="str">
        <f t="shared" si="4"/>
        <v>33618.703</v>
      </c>
      <c r="H22" s="9">
        <f t="shared" si="5"/>
        <v>255</v>
      </c>
      <c r="I22" s="50" t="s">
        <v>108</v>
      </c>
      <c r="J22" s="51" t="s">
        <v>109</v>
      </c>
      <c r="K22" s="50">
        <v>255</v>
      </c>
      <c r="L22" s="50" t="s">
        <v>110</v>
      </c>
      <c r="M22" s="51" t="s">
        <v>62</v>
      </c>
      <c r="N22" s="51"/>
      <c r="O22" s="52" t="s">
        <v>99</v>
      </c>
      <c r="P22" s="52" t="s">
        <v>107</v>
      </c>
    </row>
    <row r="23" spans="1:16" ht="12.75" customHeight="1" thickBot="1" x14ac:dyDescent="0.25">
      <c r="A23" s="9" t="str">
        <f t="shared" si="0"/>
        <v> MVS 171 </v>
      </c>
      <c r="B23" s="17" t="str">
        <f t="shared" si="1"/>
        <v>I</v>
      </c>
      <c r="C23" s="9">
        <f t="shared" si="2"/>
        <v>33922.377999999997</v>
      </c>
      <c r="D23" s="14" t="str">
        <f t="shared" si="3"/>
        <v>vis</v>
      </c>
      <c r="E23" s="49">
        <f>VLOOKUP(C23,Active!C$21:E$973,3,FALSE)</f>
        <v>318.9884449456585</v>
      </c>
      <c r="F23" s="17" t="s">
        <v>60</v>
      </c>
      <c r="G23" s="14" t="str">
        <f t="shared" si="4"/>
        <v>33922.378</v>
      </c>
      <c r="H23" s="9">
        <f t="shared" si="5"/>
        <v>319</v>
      </c>
      <c r="I23" s="50" t="s">
        <v>111</v>
      </c>
      <c r="J23" s="51" t="s">
        <v>112</v>
      </c>
      <c r="K23" s="50">
        <v>319</v>
      </c>
      <c r="L23" s="50" t="s">
        <v>113</v>
      </c>
      <c r="M23" s="51" t="s">
        <v>66</v>
      </c>
      <c r="N23" s="51"/>
      <c r="O23" s="52" t="s">
        <v>114</v>
      </c>
      <c r="P23" s="52" t="s">
        <v>115</v>
      </c>
    </row>
    <row r="24" spans="1:16" ht="12.75" customHeight="1" thickBot="1" x14ac:dyDescent="0.25">
      <c r="A24" s="9" t="str">
        <f t="shared" si="0"/>
        <v> AJ 64.263 </v>
      </c>
      <c r="B24" s="17" t="str">
        <f t="shared" si="1"/>
        <v>I</v>
      </c>
      <c r="C24" s="9">
        <f t="shared" si="2"/>
        <v>34135.972000000002</v>
      </c>
      <c r="D24" s="14" t="str">
        <f t="shared" si="3"/>
        <v>vis</v>
      </c>
      <c r="E24" s="49">
        <f>VLOOKUP(C24,Active!C$21:E$973,3,FALSE)</f>
        <v>363.99537949539416</v>
      </c>
      <c r="F24" s="17" t="s">
        <v>60</v>
      </c>
      <c r="G24" s="14" t="str">
        <f t="shared" si="4"/>
        <v>34135.972</v>
      </c>
      <c r="H24" s="9">
        <f t="shared" si="5"/>
        <v>364</v>
      </c>
      <c r="I24" s="50" t="s">
        <v>116</v>
      </c>
      <c r="J24" s="51" t="s">
        <v>117</v>
      </c>
      <c r="K24" s="50">
        <v>364</v>
      </c>
      <c r="L24" s="50" t="s">
        <v>118</v>
      </c>
      <c r="M24" s="51" t="s">
        <v>62</v>
      </c>
      <c r="N24" s="51"/>
      <c r="O24" s="52" t="s">
        <v>99</v>
      </c>
      <c r="P24" s="52" t="s">
        <v>107</v>
      </c>
    </row>
    <row r="25" spans="1:16" ht="12.75" customHeight="1" thickBot="1" x14ac:dyDescent="0.25">
      <c r="A25" s="9" t="str">
        <f t="shared" si="0"/>
        <v> MVS 171 </v>
      </c>
      <c r="B25" s="17" t="str">
        <f t="shared" si="1"/>
        <v>I</v>
      </c>
      <c r="C25" s="9">
        <f t="shared" si="2"/>
        <v>34221.497000000003</v>
      </c>
      <c r="D25" s="14" t="str">
        <f t="shared" si="3"/>
        <v>vis</v>
      </c>
      <c r="E25" s="49">
        <f>VLOOKUP(C25,Active!C$21:E$973,3,FALSE)</f>
        <v>382.01656959139933</v>
      </c>
      <c r="F25" s="17" t="s">
        <v>60</v>
      </c>
      <c r="G25" s="14" t="str">
        <f t="shared" si="4"/>
        <v>34221.497</v>
      </c>
      <c r="H25" s="9">
        <f t="shared" si="5"/>
        <v>382</v>
      </c>
      <c r="I25" s="50" t="s">
        <v>119</v>
      </c>
      <c r="J25" s="51" t="s">
        <v>120</v>
      </c>
      <c r="K25" s="50">
        <v>382</v>
      </c>
      <c r="L25" s="50" t="s">
        <v>121</v>
      </c>
      <c r="M25" s="51" t="s">
        <v>66</v>
      </c>
      <c r="N25" s="51"/>
      <c r="O25" s="52" t="s">
        <v>114</v>
      </c>
      <c r="P25" s="52" t="s">
        <v>115</v>
      </c>
    </row>
    <row r="26" spans="1:16" ht="12.75" customHeight="1" thickBot="1" x14ac:dyDescent="0.25">
      <c r="A26" s="9" t="str">
        <f t="shared" si="0"/>
        <v> MVS 171 </v>
      </c>
      <c r="B26" s="17" t="str">
        <f t="shared" si="1"/>
        <v>I</v>
      </c>
      <c r="C26" s="9">
        <f t="shared" si="2"/>
        <v>34458.586000000003</v>
      </c>
      <c r="D26" s="14" t="str">
        <f t="shared" si="3"/>
        <v>vis</v>
      </c>
      <c r="E26" s="49">
        <f>VLOOKUP(C26,Active!C$21:E$973,3,FALSE)</f>
        <v>431.97419529934075</v>
      </c>
      <c r="F26" s="17" t="s">
        <v>60</v>
      </c>
      <c r="G26" s="14" t="str">
        <f t="shared" si="4"/>
        <v>34458.586</v>
      </c>
      <c r="H26" s="9">
        <f t="shared" si="5"/>
        <v>432</v>
      </c>
      <c r="I26" s="50" t="s">
        <v>122</v>
      </c>
      <c r="J26" s="51" t="s">
        <v>123</v>
      </c>
      <c r="K26" s="50">
        <v>432</v>
      </c>
      <c r="L26" s="50" t="s">
        <v>124</v>
      </c>
      <c r="M26" s="51" t="s">
        <v>66</v>
      </c>
      <c r="N26" s="51"/>
      <c r="O26" s="52" t="s">
        <v>114</v>
      </c>
      <c r="P26" s="52" t="s">
        <v>115</v>
      </c>
    </row>
    <row r="27" spans="1:16" ht="12.75" customHeight="1" thickBot="1" x14ac:dyDescent="0.25">
      <c r="A27" s="9" t="str">
        <f t="shared" si="0"/>
        <v> MVS 171 </v>
      </c>
      <c r="B27" s="17" t="str">
        <f t="shared" si="1"/>
        <v>I</v>
      </c>
      <c r="C27" s="9">
        <f t="shared" si="2"/>
        <v>34501.46</v>
      </c>
      <c r="D27" s="14" t="str">
        <f t="shared" si="3"/>
        <v>vis</v>
      </c>
      <c r="E27" s="49">
        <f>VLOOKUP(C27,Active!C$21:E$973,3,FALSE)</f>
        <v>441.00828479569907</v>
      </c>
      <c r="F27" s="17" t="s">
        <v>60</v>
      </c>
      <c r="G27" s="14" t="str">
        <f t="shared" si="4"/>
        <v>34501.460</v>
      </c>
      <c r="H27" s="9">
        <f t="shared" si="5"/>
        <v>441</v>
      </c>
      <c r="I27" s="50" t="s">
        <v>125</v>
      </c>
      <c r="J27" s="51" t="s">
        <v>126</v>
      </c>
      <c r="K27" s="50">
        <v>441</v>
      </c>
      <c r="L27" s="50" t="s">
        <v>85</v>
      </c>
      <c r="M27" s="51" t="s">
        <v>66</v>
      </c>
      <c r="N27" s="51"/>
      <c r="O27" s="52" t="s">
        <v>114</v>
      </c>
      <c r="P27" s="52" t="s">
        <v>115</v>
      </c>
    </row>
    <row r="28" spans="1:16" ht="12.75" customHeight="1" thickBot="1" x14ac:dyDescent="0.25">
      <c r="A28" s="9" t="str">
        <f t="shared" si="0"/>
        <v> AJ 64.263 </v>
      </c>
      <c r="B28" s="17" t="str">
        <f t="shared" si="1"/>
        <v>I</v>
      </c>
      <c r="C28" s="9">
        <f t="shared" si="2"/>
        <v>34591.593999999997</v>
      </c>
      <c r="D28" s="14" t="str">
        <f t="shared" si="3"/>
        <v>vis</v>
      </c>
      <c r="E28" s="49">
        <f>VLOOKUP(C28,Active!C$21:E$973,3,FALSE)</f>
        <v>460.00064899462649</v>
      </c>
      <c r="F28" s="17" t="s">
        <v>60</v>
      </c>
      <c r="G28" s="14" t="str">
        <f t="shared" si="4"/>
        <v>34591.594</v>
      </c>
      <c r="H28" s="9">
        <f t="shared" si="5"/>
        <v>460</v>
      </c>
      <c r="I28" s="50" t="s">
        <v>127</v>
      </c>
      <c r="J28" s="51" t="s">
        <v>128</v>
      </c>
      <c r="K28" s="50">
        <v>460</v>
      </c>
      <c r="L28" s="50" t="s">
        <v>129</v>
      </c>
      <c r="M28" s="51" t="s">
        <v>62</v>
      </c>
      <c r="N28" s="51"/>
      <c r="O28" s="52" t="s">
        <v>99</v>
      </c>
      <c r="P28" s="52" t="s">
        <v>107</v>
      </c>
    </row>
    <row r="29" spans="1:16" ht="12.75" customHeight="1" thickBot="1" x14ac:dyDescent="0.25">
      <c r="A29" s="9" t="str">
        <f t="shared" si="0"/>
        <v> AJ 64.263 </v>
      </c>
      <c r="B29" s="17" t="str">
        <f t="shared" si="1"/>
        <v>I</v>
      </c>
      <c r="C29" s="9">
        <f t="shared" si="2"/>
        <v>36029.569000000003</v>
      </c>
      <c r="D29" s="14" t="str">
        <f t="shared" si="3"/>
        <v>vis</v>
      </c>
      <c r="E29" s="49">
        <f>VLOOKUP(C29,Active!C$21:E$973,3,FALSE)</f>
        <v>763.00001559272846</v>
      </c>
      <c r="F29" s="17" t="s">
        <v>60</v>
      </c>
      <c r="G29" s="14" t="str">
        <f t="shared" si="4"/>
        <v>36029.569</v>
      </c>
      <c r="H29" s="9">
        <f t="shared" si="5"/>
        <v>763</v>
      </c>
      <c r="I29" s="50" t="s">
        <v>133</v>
      </c>
      <c r="J29" s="51" t="s">
        <v>134</v>
      </c>
      <c r="K29" s="50">
        <v>763</v>
      </c>
      <c r="L29" s="50" t="s">
        <v>135</v>
      </c>
      <c r="M29" s="51" t="s">
        <v>62</v>
      </c>
      <c r="N29" s="51"/>
      <c r="O29" s="52" t="s">
        <v>99</v>
      </c>
      <c r="P29" s="52" t="s">
        <v>107</v>
      </c>
    </row>
    <row r="30" spans="1:16" ht="12.75" customHeight="1" thickBot="1" x14ac:dyDescent="0.25">
      <c r="A30" s="9" t="str">
        <f t="shared" si="0"/>
        <v> AJ 64.263 </v>
      </c>
      <c r="B30" s="17" t="str">
        <f t="shared" si="1"/>
        <v>I</v>
      </c>
      <c r="C30" s="9">
        <f t="shared" si="2"/>
        <v>36138.720999999998</v>
      </c>
      <c r="D30" s="14" t="str">
        <f t="shared" si="3"/>
        <v>vis</v>
      </c>
      <c r="E30" s="49">
        <f>VLOOKUP(C30,Active!C$21:E$973,3,FALSE)</f>
        <v>785.99971090239262</v>
      </c>
      <c r="F30" s="17" t="s">
        <v>60</v>
      </c>
      <c r="G30" s="14" t="str">
        <f t="shared" si="4"/>
        <v>36138.721</v>
      </c>
      <c r="H30" s="9">
        <f t="shared" si="5"/>
        <v>786</v>
      </c>
      <c r="I30" s="50" t="s">
        <v>136</v>
      </c>
      <c r="J30" s="51" t="s">
        <v>137</v>
      </c>
      <c r="K30" s="50">
        <v>786</v>
      </c>
      <c r="L30" s="50" t="s">
        <v>138</v>
      </c>
      <c r="M30" s="51" t="s">
        <v>62</v>
      </c>
      <c r="N30" s="51"/>
      <c r="O30" s="52" t="s">
        <v>99</v>
      </c>
      <c r="P30" s="52" t="s">
        <v>107</v>
      </c>
    </row>
    <row r="31" spans="1:16" ht="12.75" customHeight="1" thickBot="1" x14ac:dyDescent="0.25">
      <c r="A31" s="9" t="str">
        <f t="shared" si="0"/>
        <v> BRNO 28.40 </v>
      </c>
      <c r="B31" s="17" t="str">
        <f t="shared" si="1"/>
        <v>I</v>
      </c>
      <c r="C31" s="9">
        <f t="shared" si="2"/>
        <v>47006.368000000002</v>
      </c>
      <c r="D31" s="14" t="str">
        <f t="shared" si="3"/>
        <v>vis</v>
      </c>
      <c r="E31" s="49">
        <f>VLOOKUP(C31,Active!C$21:E$973,3,FALSE)</f>
        <v>3075.9492283917452</v>
      </c>
      <c r="F31" s="17" t="s">
        <v>60</v>
      </c>
      <c r="G31" s="14" t="str">
        <f t="shared" si="4"/>
        <v>47006.368</v>
      </c>
      <c r="H31" s="9">
        <f t="shared" si="5"/>
        <v>3076</v>
      </c>
      <c r="I31" s="50" t="s">
        <v>139</v>
      </c>
      <c r="J31" s="51" t="s">
        <v>140</v>
      </c>
      <c r="K31" s="50">
        <v>3076</v>
      </c>
      <c r="L31" s="50" t="s">
        <v>141</v>
      </c>
      <c r="M31" s="51" t="s">
        <v>86</v>
      </c>
      <c r="N31" s="51"/>
      <c r="O31" s="52" t="s">
        <v>142</v>
      </c>
      <c r="P31" s="52" t="s">
        <v>143</v>
      </c>
    </row>
    <row r="32" spans="1:16" ht="12.75" customHeight="1" thickBot="1" x14ac:dyDescent="0.25">
      <c r="A32" s="9" t="str">
        <f t="shared" si="0"/>
        <v> BRNO 28.40 </v>
      </c>
      <c r="B32" s="17" t="str">
        <f t="shared" si="1"/>
        <v>I</v>
      </c>
      <c r="C32" s="9">
        <f t="shared" si="2"/>
        <v>47039.587</v>
      </c>
      <c r="D32" s="14" t="str">
        <f t="shared" si="3"/>
        <v>vis</v>
      </c>
      <c r="E32" s="49">
        <f>VLOOKUP(C32,Active!C$21:E$973,3,FALSE)</f>
        <v>3082.9488883017029</v>
      </c>
      <c r="F32" s="17" t="s">
        <v>60</v>
      </c>
      <c r="G32" s="14" t="str">
        <f t="shared" si="4"/>
        <v>47039.587</v>
      </c>
      <c r="H32" s="9">
        <f t="shared" si="5"/>
        <v>3083</v>
      </c>
      <c r="I32" s="50" t="s">
        <v>144</v>
      </c>
      <c r="J32" s="51" t="s">
        <v>145</v>
      </c>
      <c r="K32" s="50">
        <v>3083</v>
      </c>
      <c r="L32" s="50" t="s">
        <v>146</v>
      </c>
      <c r="M32" s="51" t="s">
        <v>86</v>
      </c>
      <c r="N32" s="51"/>
      <c r="O32" s="52" t="s">
        <v>142</v>
      </c>
      <c r="P32" s="52" t="s">
        <v>143</v>
      </c>
    </row>
    <row r="33" spans="1:16" ht="12.75" customHeight="1" thickBot="1" x14ac:dyDescent="0.25">
      <c r="A33" s="9" t="str">
        <f t="shared" si="0"/>
        <v>IBVS 4888 </v>
      </c>
      <c r="B33" s="17" t="str">
        <f t="shared" si="1"/>
        <v>I</v>
      </c>
      <c r="C33" s="9">
        <f t="shared" si="2"/>
        <v>51016.551599999999</v>
      </c>
      <c r="D33" s="14" t="str">
        <f t="shared" si="3"/>
        <v>vis</v>
      </c>
      <c r="E33" s="49">
        <f>VLOOKUP(C33,Active!C$21:E$973,3,FALSE)</f>
        <v>3920.9452058893307</v>
      </c>
      <c r="F33" s="17" t="s">
        <v>60</v>
      </c>
      <c r="G33" s="14" t="str">
        <f t="shared" si="4"/>
        <v>51016.5516</v>
      </c>
      <c r="H33" s="9">
        <f t="shared" si="5"/>
        <v>3921</v>
      </c>
      <c r="I33" s="50" t="s">
        <v>147</v>
      </c>
      <c r="J33" s="51" t="s">
        <v>148</v>
      </c>
      <c r="K33" s="50">
        <v>3921</v>
      </c>
      <c r="L33" s="50" t="s">
        <v>149</v>
      </c>
      <c r="M33" s="51" t="s">
        <v>150</v>
      </c>
      <c r="N33" s="51" t="s">
        <v>151</v>
      </c>
      <c r="O33" s="52" t="s">
        <v>152</v>
      </c>
      <c r="P33" s="53" t="s">
        <v>153</v>
      </c>
    </row>
    <row r="34" spans="1:16" ht="12.75" customHeight="1" thickBot="1" x14ac:dyDescent="0.25">
      <c r="A34" s="9" t="str">
        <f t="shared" si="0"/>
        <v>IBVS 5263 </v>
      </c>
      <c r="B34" s="17" t="str">
        <f t="shared" si="1"/>
        <v>I</v>
      </c>
      <c r="C34" s="9">
        <f t="shared" si="2"/>
        <v>51277.566299999999</v>
      </c>
      <c r="D34" s="14" t="str">
        <f t="shared" si="3"/>
        <v>vis</v>
      </c>
      <c r="E34" s="49">
        <f>VLOOKUP(C34,Active!C$21:E$973,3,FALSE)</f>
        <v>3975.9442766470233</v>
      </c>
      <c r="F34" s="17" t="s">
        <v>60</v>
      </c>
      <c r="G34" s="14" t="str">
        <f t="shared" si="4"/>
        <v>51277.5663</v>
      </c>
      <c r="H34" s="9">
        <f t="shared" si="5"/>
        <v>3976</v>
      </c>
      <c r="I34" s="50" t="s">
        <v>154</v>
      </c>
      <c r="J34" s="51" t="s">
        <v>155</v>
      </c>
      <c r="K34" s="50">
        <v>3976</v>
      </c>
      <c r="L34" s="50" t="s">
        <v>156</v>
      </c>
      <c r="M34" s="51" t="s">
        <v>150</v>
      </c>
      <c r="N34" s="51" t="s">
        <v>151</v>
      </c>
      <c r="O34" s="52" t="s">
        <v>152</v>
      </c>
      <c r="P34" s="53" t="s">
        <v>157</v>
      </c>
    </row>
    <row r="35" spans="1:16" ht="12.75" customHeight="1" thickBot="1" x14ac:dyDescent="0.25">
      <c r="A35" s="9" t="str">
        <f t="shared" si="0"/>
        <v>IBVS 5917 </v>
      </c>
      <c r="B35" s="17" t="str">
        <f t="shared" si="1"/>
        <v>I</v>
      </c>
      <c r="C35" s="9">
        <f t="shared" si="2"/>
        <v>54974.578999999998</v>
      </c>
      <c r="D35" s="14" t="str">
        <f t="shared" si="3"/>
        <v>vis</v>
      </c>
      <c r="E35" s="49">
        <f>VLOOKUP(C35,Active!C$21:E$973,3,FALSE)</f>
        <v>4754.9512179395588</v>
      </c>
      <c r="F35" s="17" t="s">
        <v>60</v>
      </c>
      <c r="G35" s="14" t="str">
        <f t="shared" si="4"/>
        <v>54974.579</v>
      </c>
      <c r="H35" s="9">
        <f t="shared" si="5"/>
        <v>4755</v>
      </c>
      <c r="I35" s="50" t="s">
        <v>158</v>
      </c>
      <c r="J35" s="51" t="s">
        <v>159</v>
      </c>
      <c r="K35" s="50">
        <v>4755</v>
      </c>
      <c r="L35" s="50" t="s">
        <v>160</v>
      </c>
      <c r="M35" s="51" t="s">
        <v>161</v>
      </c>
      <c r="N35" s="51" t="s">
        <v>162</v>
      </c>
      <c r="O35" s="52" t="s">
        <v>163</v>
      </c>
      <c r="P35" s="53" t="s">
        <v>164</v>
      </c>
    </row>
    <row r="36" spans="1:16" ht="12.75" customHeight="1" thickBot="1" x14ac:dyDescent="0.25">
      <c r="A36" s="9" t="str">
        <f t="shared" si="0"/>
        <v>BAVM 215 </v>
      </c>
      <c r="B36" s="17" t="str">
        <f t="shared" si="1"/>
        <v>I</v>
      </c>
      <c r="C36" s="9">
        <f t="shared" si="2"/>
        <v>55387.471700000002</v>
      </c>
      <c r="D36" s="14" t="str">
        <f t="shared" si="3"/>
        <v>vis</v>
      </c>
      <c r="E36" s="49">
        <f>VLOOKUP(C36,Active!C$21:E$973,3,FALSE)</f>
        <v>4841.9528880471626</v>
      </c>
      <c r="F36" s="17" t="s">
        <v>60</v>
      </c>
      <c r="G36" s="14" t="str">
        <f t="shared" si="4"/>
        <v>55387.4717</v>
      </c>
      <c r="H36" s="9">
        <f t="shared" si="5"/>
        <v>4842</v>
      </c>
      <c r="I36" s="50" t="s">
        <v>171</v>
      </c>
      <c r="J36" s="51" t="s">
        <v>172</v>
      </c>
      <c r="K36" s="50" t="s">
        <v>173</v>
      </c>
      <c r="L36" s="50" t="s">
        <v>174</v>
      </c>
      <c r="M36" s="51" t="s">
        <v>161</v>
      </c>
      <c r="N36" s="51" t="s">
        <v>168</v>
      </c>
      <c r="O36" s="52" t="s">
        <v>169</v>
      </c>
      <c r="P36" s="53" t="s">
        <v>175</v>
      </c>
    </row>
    <row r="37" spans="1:16" ht="12.75" customHeight="1" thickBot="1" x14ac:dyDescent="0.25">
      <c r="A37" s="9" t="str">
        <f t="shared" si="0"/>
        <v>BAVM 220 </v>
      </c>
      <c r="B37" s="17" t="str">
        <f t="shared" si="1"/>
        <v>I</v>
      </c>
      <c r="C37" s="9">
        <f t="shared" si="2"/>
        <v>55686.460899999998</v>
      </c>
      <c r="D37" s="14" t="str">
        <f t="shared" si="3"/>
        <v>vis</v>
      </c>
      <c r="E37" s="49">
        <f>VLOOKUP(C37,Active!C$21:E$973,3,FALSE)</f>
        <v>4904.9536622050382</v>
      </c>
      <c r="F37" s="17" t="s">
        <v>60</v>
      </c>
      <c r="G37" s="14" t="str">
        <f t="shared" si="4"/>
        <v>55686.4609</v>
      </c>
      <c r="H37" s="9">
        <f t="shared" si="5"/>
        <v>4905</v>
      </c>
      <c r="I37" s="50" t="s">
        <v>176</v>
      </c>
      <c r="J37" s="51" t="s">
        <v>177</v>
      </c>
      <c r="K37" s="50" t="s">
        <v>178</v>
      </c>
      <c r="L37" s="50" t="s">
        <v>179</v>
      </c>
      <c r="M37" s="51" t="s">
        <v>161</v>
      </c>
      <c r="N37" s="51" t="s">
        <v>168</v>
      </c>
      <c r="O37" s="52" t="s">
        <v>169</v>
      </c>
      <c r="P37" s="53" t="s">
        <v>180</v>
      </c>
    </row>
    <row r="38" spans="1:16" ht="12.75" customHeight="1" thickBot="1" x14ac:dyDescent="0.25">
      <c r="A38" s="9" t="str">
        <f t="shared" si="0"/>
        <v>BAVM 231 </v>
      </c>
      <c r="B38" s="17" t="str">
        <f t="shared" si="1"/>
        <v>I</v>
      </c>
      <c r="C38" s="9">
        <f t="shared" si="2"/>
        <v>56151.557500000003</v>
      </c>
      <c r="D38" s="14" t="str">
        <f t="shared" si="3"/>
        <v>vis</v>
      </c>
      <c r="E38" s="49">
        <f>VLOOKUP(C38,Active!C$21:E$973,3,FALSE)</f>
        <v>5002.9553487482199</v>
      </c>
      <c r="F38" s="17" t="s">
        <v>60</v>
      </c>
      <c r="G38" s="14" t="str">
        <f t="shared" si="4"/>
        <v>56151.5575</v>
      </c>
      <c r="H38" s="9">
        <f t="shared" si="5"/>
        <v>5003</v>
      </c>
      <c r="I38" s="50" t="s">
        <v>181</v>
      </c>
      <c r="J38" s="51" t="s">
        <v>182</v>
      </c>
      <c r="K38" s="50" t="s">
        <v>183</v>
      </c>
      <c r="L38" s="50" t="s">
        <v>184</v>
      </c>
      <c r="M38" s="51" t="s">
        <v>161</v>
      </c>
      <c r="N38" s="51" t="s">
        <v>185</v>
      </c>
      <c r="O38" s="52" t="s">
        <v>186</v>
      </c>
      <c r="P38" s="53" t="s">
        <v>187</v>
      </c>
    </row>
    <row r="39" spans="1:16" ht="12.75" customHeight="1" thickBot="1" x14ac:dyDescent="0.25">
      <c r="A39" s="9" t="str">
        <f t="shared" si="0"/>
        <v> KVBB 24.87 </v>
      </c>
      <c r="B39" s="17" t="str">
        <f t="shared" si="1"/>
        <v>I</v>
      </c>
      <c r="C39" s="9">
        <f t="shared" si="2"/>
        <v>25465.532999999999</v>
      </c>
      <c r="D39" s="14" t="str">
        <f t="shared" si="3"/>
        <v>vis</v>
      </c>
      <c r="E39" s="49">
        <f>VLOOKUP(C39,Active!C$21:E$973,3,FALSE)</f>
        <v>-1462.9748565152952</v>
      </c>
      <c r="F39" s="17" t="s">
        <v>60</v>
      </c>
      <c r="G39" s="14" t="str">
        <f t="shared" si="4"/>
        <v>25465.533</v>
      </c>
      <c r="H39" s="9">
        <f t="shared" si="5"/>
        <v>-1463</v>
      </c>
      <c r="I39" s="50" t="s">
        <v>63</v>
      </c>
      <c r="J39" s="51" t="s">
        <v>64</v>
      </c>
      <c r="K39" s="50">
        <v>-1463</v>
      </c>
      <c r="L39" s="50" t="s">
        <v>65</v>
      </c>
      <c r="M39" s="51" t="s">
        <v>66</v>
      </c>
      <c r="N39" s="51"/>
      <c r="O39" s="52" t="s">
        <v>67</v>
      </c>
      <c r="P39" s="52" t="s">
        <v>68</v>
      </c>
    </row>
    <row r="40" spans="1:16" ht="12.75" customHeight="1" thickBot="1" x14ac:dyDescent="0.25">
      <c r="A40" s="9" t="str">
        <f t="shared" si="0"/>
        <v> AJ 64.263 </v>
      </c>
      <c r="B40" s="17" t="str">
        <f t="shared" si="1"/>
        <v>I</v>
      </c>
      <c r="C40" s="9">
        <f t="shared" si="2"/>
        <v>35075.675000000003</v>
      </c>
      <c r="D40" s="14" t="str">
        <f t="shared" si="3"/>
        <v>vis</v>
      </c>
      <c r="E40" s="49">
        <f>VLOOKUP(C40,Active!C$21:E$973,3,FALSE)</f>
        <v>562.00258670715755</v>
      </c>
      <c r="F40" s="17" t="s">
        <v>60</v>
      </c>
      <c r="G40" s="14" t="str">
        <f t="shared" si="4"/>
        <v>35075.675</v>
      </c>
      <c r="H40" s="9">
        <f t="shared" si="5"/>
        <v>562</v>
      </c>
      <c r="I40" s="50" t="s">
        <v>130</v>
      </c>
      <c r="J40" s="51" t="s">
        <v>131</v>
      </c>
      <c r="K40" s="50">
        <v>562</v>
      </c>
      <c r="L40" s="50" t="s">
        <v>132</v>
      </c>
      <c r="M40" s="51" t="s">
        <v>62</v>
      </c>
      <c r="N40" s="51"/>
      <c r="O40" s="52" t="s">
        <v>99</v>
      </c>
      <c r="P40" s="52" t="s">
        <v>107</v>
      </c>
    </row>
    <row r="41" spans="1:16" ht="12.75" customHeight="1" thickBot="1" x14ac:dyDescent="0.25">
      <c r="A41" s="9" t="str">
        <f t="shared" si="0"/>
        <v>BAVM 212 </v>
      </c>
      <c r="B41" s="17" t="str">
        <f t="shared" si="1"/>
        <v>I</v>
      </c>
      <c r="C41" s="9">
        <f t="shared" si="2"/>
        <v>55050.513400000003</v>
      </c>
      <c r="D41" s="14" t="str">
        <f t="shared" si="3"/>
        <v>vis</v>
      </c>
      <c r="E41" s="49">
        <f>VLOOKUP(C41,Active!C$21:E$973,3,FALSE)</f>
        <v>4770.951548336825</v>
      </c>
      <c r="F41" s="17" t="s">
        <v>60</v>
      </c>
      <c r="G41" s="14" t="str">
        <f t="shared" si="4"/>
        <v>55050.5134</v>
      </c>
      <c r="H41" s="9">
        <f t="shared" si="5"/>
        <v>4771</v>
      </c>
      <c r="I41" s="50" t="s">
        <v>165</v>
      </c>
      <c r="J41" s="51" t="s">
        <v>166</v>
      </c>
      <c r="K41" s="50">
        <v>4771</v>
      </c>
      <c r="L41" s="50" t="s">
        <v>167</v>
      </c>
      <c r="M41" s="51" t="s">
        <v>161</v>
      </c>
      <c r="N41" s="51" t="s">
        <v>168</v>
      </c>
      <c r="O41" s="52" t="s">
        <v>169</v>
      </c>
      <c r="P41" s="53" t="s">
        <v>170</v>
      </c>
    </row>
    <row r="42" spans="1:16" x14ac:dyDescent="0.2">
      <c r="B42" s="17"/>
      <c r="F42" s="17"/>
    </row>
    <row r="43" spans="1:16" x14ac:dyDescent="0.2">
      <c r="B43" s="17"/>
      <c r="F43" s="17"/>
    </row>
    <row r="44" spans="1:16" x14ac:dyDescent="0.2">
      <c r="B44" s="17"/>
      <c r="F44" s="17"/>
    </row>
    <row r="45" spans="1:16" x14ac:dyDescent="0.2">
      <c r="B45" s="17"/>
      <c r="F45" s="17"/>
    </row>
    <row r="46" spans="1:16" x14ac:dyDescent="0.2">
      <c r="B46" s="17"/>
      <c r="F46" s="17"/>
    </row>
    <row r="47" spans="1:16" x14ac:dyDescent="0.2">
      <c r="B47" s="17"/>
      <c r="F47" s="17"/>
    </row>
    <row r="48" spans="1:1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</sheetData>
  <phoneticPr fontId="7" type="noConversion"/>
  <hyperlinks>
    <hyperlink ref="P33" r:id="rId1" display="http://www.konkoly.hu/cgi-bin/IBVS?4888"/>
    <hyperlink ref="P34" r:id="rId2" display="http://www.konkoly.hu/cgi-bin/IBVS?5263"/>
    <hyperlink ref="P35" r:id="rId3" display="http://www.konkoly.hu/cgi-bin/IBVS?5917"/>
    <hyperlink ref="P41" r:id="rId4" display="http://www.bav-astro.de/sfs/BAVM_link.php?BAVMnr=212"/>
    <hyperlink ref="P36" r:id="rId5" display="http://www.bav-astro.de/sfs/BAVM_link.php?BAVMnr=215"/>
    <hyperlink ref="P37" r:id="rId6" display="http://www.bav-astro.de/sfs/BAVM_link.php?BAVMnr=220"/>
    <hyperlink ref="P38" r:id="rId7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2024-01-30T05:49:45Z</dcterms:modified>
</cp:coreProperties>
</file>