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A54ECD-2642-44EF-B80E-319214459E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9" i="1"/>
  <c r="G16" i="2"/>
  <c r="C16" i="2"/>
  <c r="G48" i="2"/>
  <c r="C48" i="2"/>
  <c r="G15" i="2"/>
  <c r="C15" i="2"/>
  <c r="G14" i="2"/>
  <c r="C14" i="2"/>
  <c r="G13" i="2"/>
  <c r="C13" i="2"/>
  <c r="G12" i="2"/>
  <c r="C12" i="2"/>
  <c r="G11" i="2"/>
  <c r="C11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H16" i="2"/>
  <c r="D16" i="2"/>
  <c r="B16" i="2"/>
  <c r="A16" i="2"/>
  <c r="H48" i="2"/>
  <c r="D48" i="2"/>
  <c r="B48" i="2"/>
  <c r="A48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Q60" i="1"/>
  <c r="F16" i="1"/>
  <c r="F17" i="1" s="1"/>
  <c r="C17" i="1"/>
  <c r="Q52" i="1"/>
  <c r="Q53" i="1"/>
  <c r="Q54" i="1"/>
  <c r="Q55" i="1"/>
  <c r="Q57" i="1"/>
  <c r="Q58" i="1"/>
  <c r="C7" i="1"/>
  <c r="E21" i="1"/>
  <c r="F21" i="1"/>
  <c r="C8" i="1"/>
  <c r="Q56" i="1"/>
  <c r="E20" i="2"/>
  <c r="E12" i="2"/>
  <c r="E37" i="2"/>
  <c r="E22" i="2"/>
  <c r="E13" i="2"/>
  <c r="E14" i="2"/>
  <c r="E46" i="2"/>
  <c r="E29" i="2"/>
  <c r="E41" i="2"/>
  <c r="E48" i="2"/>
  <c r="E34" i="2"/>
  <c r="E31" i="2"/>
  <c r="E36" i="2"/>
  <c r="E16" i="2"/>
  <c r="E42" i="2"/>
  <c r="E19" i="2"/>
  <c r="E55" i="1"/>
  <c r="F55" i="1"/>
  <c r="G49" i="1"/>
  <c r="H49" i="1"/>
  <c r="E47" i="1"/>
  <c r="F47" i="1"/>
  <c r="G47" i="1"/>
  <c r="H47" i="1"/>
  <c r="E39" i="1"/>
  <c r="F39" i="1"/>
  <c r="G39" i="1"/>
  <c r="H39" i="1"/>
  <c r="G33" i="1"/>
  <c r="H33" i="1"/>
  <c r="E31" i="1"/>
  <c r="F31" i="1"/>
  <c r="E23" i="1"/>
  <c r="F23" i="1"/>
  <c r="E52" i="1"/>
  <c r="F52" i="1"/>
  <c r="G54" i="1"/>
  <c r="I54" i="1"/>
  <c r="E59" i="1"/>
  <c r="F59" i="1"/>
  <c r="G46" i="1"/>
  <c r="H46" i="1"/>
  <c r="E44" i="1"/>
  <c r="F44" i="1"/>
  <c r="G44" i="1"/>
  <c r="H44" i="1"/>
  <c r="G38" i="1"/>
  <c r="H38" i="1"/>
  <c r="E36" i="1"/>
  <c r="F36" i="1"/>
  <c r="E28" i="1"/>
  <c r="F28" i="1"/>
  <c r="G22" i="1"/>
  <c r="H22" i="1"/>
  <c r="G60" i="1"/>
  <c r="I60" i="1"/>
  <c r="E58" i="1"/>
  <c r="F58" i="1"/>
  <c r="G58" i="1"/>
  <c r="I58" i="1"/>
  <c r="E49" i="1"/>
  <c r="F49" i="1"/>
  <c r="E41" i="1"/>
  <c r="F41" i="1"/>
  <c r="G41" i="1"/>
  <c r="H41" i="1"/>
  <c r="G35" i="1"/>
  <c r="H35" i="1"/>
  <c r="E33" i="1"/>
  <c r="F33" i="1"/>
  <c r="G27" i="1"/>
  <c r="H27" i="1"/>
  <c r="E25" i="1"/>
  <c r="F25" i="1"/>
  <c r="G25" i="1"/>
  <c r="H25" i="1"/>
  <c r="G57" i="1"/>
  <c r="I57" i="1"/>
  <c r="E54" i="1"/>
  <c r="F54" i="1"/>
  <c r="E46" i="1"/>
  <c r="F46" i="1"/>
  <c r="G40" i="1"/>
  <c r="H40" i="1"/>
  <c r="E38" i="1"/>
  <c r="F38" i="1"/>
  <c r="E30" i="1"/>
  <c r="F30" i="1"/>
  <c r="G30" i="1"/>
  <c r="H30" i="1"/>
  <c r="G24" i="1"/>
  <c r="H24" i="1"/>
  <c r="E22" i="1"/>
  <c r="F22" i="1"/>
  <c r="E60" i="1"/>
  <c r="F60" i="1"/>
  <c r="G53" i="1"/>
  <c r="I53" i="1"/>
  <c r="E51" i="1"/>
  <c r="F51" i="1"/>
  <c r="G51" i="1"/>
  <c r="H51" i="1"/>
  <c r="E43" i="1"/>
  <c r="F43" i="1"/>
  <c r="G43" i="1"/>
  <c r="H43" i="1"/>
  <c r="G37" i="1"/>
  <c r="H37" i="1"/>
  <c r="E35" i="1"/>
  <c r="F35" i="1"/>
  <c r="E27" i="1"/>
  <c r="F27" i="1"/>
  <c r="G56" i="1"/>
  <c r="E57" i="1"/>
  <c r="F57" i="1"/>
  <c r="G50" i="1"/>
  <c r="H50" i="1"/>
  <c r="E48" i="1"/>
  <c r="F48" i="1"/>
  <c r="G48" i="1"/>
  <c r="H48" i="1"/>
  <c r="E40" i="1"/>
  <c r="F40" i="1"/>
  <c r="E32" i="1"/>
  <c r="F32" i="1"/>
  <c r="G32" i="1"/>
  <c r="H32" i="1"/>
  <c r="G26" i="1"/>
  <c r="H26" i="1"/>
  <c r="E24" i="1"/>
  <c r="F24" i="1"/>
  <c r="G21" i="1"/>
  <c r="H21" i="1"/>
  <c r="G55" i="1"/>
  <c r="I55" i="1"/>
  <c r="E53" i="1"/>
  <c r="F53" i="1"/>
  <c r="E45" i="1"/>
  <c r="F45" i="1"/>
  <c r="G45" i="1"/>
  <c r="H45" i="1"/>
  <c r="E37" i="1"/>
  <c r="F37" i="1"/>
  <c r="G31" i="1"/>
  <c r="H31" i="1"/>
  <c r="E29" i="1"/>
  <c r="F29" i="1"/>
  <c r="G29" i="1"/>
  <c r="H29" i="1"/>
  <c r="G23" i="1"/>
  <c r="H23" i="1"/>
  <c r="E56" i="1"/>
  <c r="F56" i="1"/>
  <c r="G59" i="1"/>
  <c r="I59" i="1"/>
  <c r="E50" i="1"/>
  <c r="F50" i="1"/>
  <c r="E42" i="1"/>
  <c r="F42" i="1"/>
  <c r="G42" i="1"/>
  <c r="H42" i="1"/>
  <c r="G36" i="1"/>
  <c r="H36" i="1"/>
  <c r="E34" i="1"/>
  <c r="F34" i="1"/>
  <c r="G34" i="1"/>
  <c r="H34" i="1"/>
  <c r="G28" i="1"/>
  <c r="H28" i="1"/>
  <c r="E26" i="1"/>
  <c r="F26" i="1"/>
  <c r="E25" i="2"/>
  <c r="E18" i="2"/>
  <c r="E35" i="2"/>
  <c r="E45" i="2"/>
  <c r="E39" i="2"/>
  <c r="H56" i="1"/>
  <c r="E24" i="2"/>
  <c r="E30" i="2"/>
  <c r="E33" i="2"/>
  <c r="E26" i="2"/>
  <c r="E47" i="2"/>
  <c r="E15" i="2"/>
  <c r="E27" i="2"/>
  <c r="E21" i="2"/>
  <c r="E43" i="2"/>
  <c r="E40" i="2"/>
  <c r="E11" i="2"/>
  <c r="E28" i="2"/>
  <c r="E23" i="2"/>
  <c r="E32" i="2"/>
  <c r="E38" i="2"/>
  <c r="E44" i="2"/>
  <c r="C11" i="1"/>
  <c r="C12" i="1"/>
  <c r="C16" i="1" l="1"/>
  <c r="D18" i="1" s="1"/>
  <c r="O40" i="1"/>
  <c r="O58" i="1"/>
  <c r="O39" i="1"/>
  <c r="O29" i="1"/>
  <c r="O48" i="1"/>
  <c r="O22" i="1"/>
  <c r="O28" i="1"/>
  <c r="O30" i="1"/>
  <c r="O36" i="1"/>
  <c r="O55" i="1"/>
  <c r="O45" i="1"/>
  <c r="O54" i="1"/>
  <c r="O38" i="1"/>
  <c r="O25" i="1"/>
  <c r="O34" i="1"/>
  <c r="O56" i="1"/>
  <c r="O35" i="1"/>
  <c r="C15" i="1"/>
  <c r="O47" i="1"/>
  <c r="O44" i="1"/>
  <c r="O26" i="1"/>
  <c r="O53" i="1"/>
  <c r="O27" i="1"/>
  <c r="O46" i="1"/>
  <c r="O59" i="1"/>
  <c r="O37" i="1"/>
  <c r="O33" i="1"/>
  <c r="O52" i="1"/>
  <c r="O42" i="1"/>
  <c r="O24" i="1"/>
  <c r="O43" i="1"/>
  <c r="O50" i="1"/>
  <c r="O51" i="1"/>
  <c r="O21" i="1"/>
  <c r="O57" i="1"/>
  <c r="O41" i="1"/>
  <c r="O23" i="1"/>
  <c r="O32" i="1"/>
  <c r="O49" i="1"/>
  <c r="O31" i="1"/>
  <c r="O60" i="1"/>
  <c r="F18" i="1" l="1"/>
  <c r="F19" i="1" s="1"/>
  <c r="C18" i="1"/>
</calcChain>
</file>

<file path=xl/sharedStrings.xml><?xml version="1.0" encoding="utf-8"?>
<sst xmlns="http://schemas.openxmlformats.org/spreadsheetml/2006/main" count="443" uniqueCount="198">
  <si>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</si>
  <si>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</si>
  <si>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</si>
  <si>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</si>
  <si>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</si>
  <si>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</si>
  <si>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</si>
  <si>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</si>
  <si>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</si>
  <si>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</si>
  <si>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</si>
  <si>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</si>
  <si>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</si>
  <si>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</si>
  <si>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</si>
  <si>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</si>
  <si>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</si>
  <si>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</si>
  <si>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</si>
  <si>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</si>
  <si>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</si>
  <si>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</si>
  <si>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</si>
  <si>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</si>
  <si>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</si>
  <si>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</si>
  <si>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</si>
  <si>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</si>
  <si>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</si>
  <si>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ApJ 139,144</t>
  </si>
  <si>
    <t>K</t>
  </si>
  <si>
    <t>phe</t>
  </si>
  <si>
    <t>BAA 60,15</t>
  </si>
  <si>
    <t>bad?</t>
  </si>
  <si>
    <t># of data points:</t>
  </si>
  <si>
    <t>KU Cyg / GSC 03563-02312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</si>
  <si>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</si>
  <si>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</si>
  <si>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</si>
  <si>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</si>
  <si>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</si>
  <si>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</si>
  <si>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</si>
  <si>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</si>
  <si>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0001</t>
  </si>
  <si>
    <t>I</t>
  </si>
  <si>
    <t>vis</t>
  </si>
  <si>
    <t>EA/D:/RS: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</si>
  <si>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</si>
  <si>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</si>
  <si>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</si>
  <si>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</si>
  <si>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</si>
  <si>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</si>
  <si>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</si>
  <si>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</si>
  <si>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</si>
  <si>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</si>
  <si>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</si>
  <si>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2414926.28 </t>
  </si>
  <si>
    <t> 28.09.1899 18:43 </t>
  </si>
  <si>
    <t> 11.23 </t>
  </si>
  <si>
    <t>P </t>
  </si>
  <si>
    <t> P.Parenago </t>
  </si>
  <si>
    <t> PZ 4.314 </t>
  </si>
  <si>
    <t>2415163.40 </t>
  </si>
  <si>
    <t> 23.05.1900 21:36 </t>
  </si>
  <si>
    <t> -1.50 </t>
  </si>
  <si>
    <t>2415165.4 </t>
  </si>
  <si>
    <t> 25.05.1900 21:36 </t>
  </si>
  <si>
    <t> 0.5 </t>
  </si>
  <si>
    <t> PZ 5.211 </t>
  </si>
  <si>
    <t>2415251.34 </t>
  </si>
  <si>
    <t> 19.08.1900 20:09 </t>
  </si>
  <si>
    <t> 9.56 </t>
  </si>
  <si>
    <t>2415283.39 </t>
  </si>
  <si>
    <t> 20.09.1900 21:21 </t>
  </si>
  <si>
    <t> 3.17 </t>
  </si>
  <si>
    <t>2415310.25 </t>
  </si>
  <si>
    <t> 17.10.1900 18:00 </t>
  </si>
  <si>
    <t> 10.81 </t>
  </si>
  <si>
    <t>2416343.38 </t>
  </si>
  <si>
    <t> 16.08.1903 21:07 </t>
  </si>
  <si>
    <t> 6.08 </t>
  </si>
  <si>
    <t>2416462.17 </t>
  </si>
  <si>
    <t> 13.12.1903 16:04 </t>
  </si>
  <si>
    <t> -9.67 </t>
  </si>
  <si>
    <t>2417818.31 </t>
  </si>
  <si>
    <t> 30.08.1907 19:26 </t>
  </si>
  <si>
    <t> 1.10 </t>
  </si>
  <si>
    <t>2417853.33 </t>
  </si>
  <si>
    <t> 04.10.1907 19:55 </t>
  </si>
  <si>
    <t> -2.32 </t>
  </si>
  <si>
    <t>2422668.16 </t>
  </si>
  <si>
    <t> 09.12.1920 15:50 </t>
  </si>
  <si>
    <t> 7.60 </t>
  </si>
  <si>
    <t>2425504.46 </t>
  </si>
  <si>
    <t> 14.09.1928 23:02 </t>
  </si>
  <si>
    <t> -0.61 </t>
  </si>
  <si>
    <t> H.Schneller </t>
  </si>
  <si>
    <t> AN 235.86 </t>
  </si>
  <si>
    <t>2425601.26 </t>
  </si>
  <si>
    <t> 20.12.1928 18:14 </t>
  </si>
  <si>
    <t> 0.09 </t>
  </si>
  <si>
    <t> AN 243.337 </t>
  </si>
  <si>
    <t>2425645.25 </t>
  </si>
  <si>
    <t> 02.02.1929 18:00 </t>
  </si>
  <si>
    <t> 5.64 </t>
  </si>
  <si>
    <t>2425890.42 </t>
  </si>
  <si>
    <t> 05.10.1929 22:04 </t>
  </si>
  <si>
    <t> 0.95 </t>
  </si>
  <si>
    <t>2425966.24 </t>
  </si>
  <si>
    <t> 20.12.1929 17:45 </t>
  </si>
  <si>
    <t> -0.10 </t>
  </si>
  <si>
    <t>2426029.64 </t>
  </si>
  <si>
    <t> 22.02.1930 03:21 </t>
  </si>
  <si>
    <t>2426120.47 </t>
  </si>
  <si>
    <t> 23.05.1930 23:16 </t>
  </si>
  <si>
    <t> 0.37 </t>
  </si>
  <si>
    <t>2426159.45 </t>
  </si>
  <si>
    <t> 01.07.1930 22:48 </t>
  </si>
  <si>
    <t> 0.91 </t>
  </si>
  <si>
    <t>2426178.49 </t>
  </si>
  <si>
    <t> 20.07.1930 23:45 </t>
  </si>
  <si>
    <t> 0.73 </t>
  </si>
  <si>
    <t>2426222.48 </t>
  </si>
  <si>
    <t> 02.09.1930 23:31 </t>
  </si>
  <si>
    <t> 6.28 </t>
  </si>
  <si>
    <t>2426352.24 </t>
  </si>
  <si>
    <t> 10.01.1931 17:45 </t>
  </si>
  <si>
    <t> 1.50 </t>
  </si>
  <si>
    <t>2426426.64 </t>
  </si>
  <si>
    <t> 26.03.1931 03:21 </t>
  </si>
  <si>
    <t> -0.98 </t>
  </si>
  <si>
    <t>2428040.92 </t>
  </si>
  <si>
    <t> 26.08.1935 10:04 </t>
  </si>
  <si>
    <t> -1.15 </t>
  </si>
  <si>
    <t> S.Beljawsky </t>
  </si>
  <si>
    <t> PZ 5.97 </t>
  </si>
  <si>
    <t>2428081.26 </t>
  </si>
  <si>
    <t> 05.10.1935 18:14 </t>
  </si>
  <si>
    <t> 0.75 </t>
  </si>
  <si>
    <t>2428426.31 </t>
  </si>
  <si>
    <t> 14.09.1936 19:26 </t>
  </si>
  <si>
    <t> -0.15 </t>
  </si>
  <si>
    <t> S.Gaposchkin </t>
  </si>
  <si>
    <t> HB 914.12 </t>
  </si>
  <si>
    <t>2428426.37 </t>
  </si>
  <si>
    <t> 14.09.1936 20:52 </t>
  </si>
  <si>
    <t> -0.09 </t>
  </si>
  <si>
    <t>2428427.34 </t>
  </si>
  <si>
    <t> 15.09.1936 20:09 </t>
  </si>
  <si>
    <t> 0.88 </t>
  </si>
  <si>
    <t>2431616.96 </t>
  </si>
  <si>
    <t> 10.06.1945 11:02 </t>
  </si>
  <si>
    <t> 0.04 </t>
  </si>
  <si>
    <t>V </t>
  </si>
  <si>
    <t> W.Zessewitsch </t>
  </si>
  <si>
    <t> IODE 4.1.266 </t>
  </si>
  <si>
    <t>2431655.7 </t>
  </si>
  <si>
    <t> 19.07.1945 04:48 </t>
  </si>
  <si>
    <t> 0.3 </t>
  </si>
  <si>
    <t> AC 43.2 </t>
  </si>
  <si>
    <t>2433500.66 </t>
  </si>
  <si>
    <t> 07.08.1950 03:50 </t>
  </si>
  <si>
    <t> 0.21 </t>
  </si>
  <si>
    <t> B.A.Ustinov </t>
  </si>
  <si>
    <t> PZ 8.302 </t>
  </si>
  <si>
    <t>2433538.98 </t>
  </si>
  <si>
    <t> 14.09.1950 11:31 </t>
  </si>
  <si>
    <t>2433769.54 </t>
  </si>
  <si>
    <t> 03.05.1951 00:57 </t>
  </si>
  <si>
    <t> 0.02 </t>
  </si>
  <si>
    <t>2433884.84 </t>
  </si>
  <si>
    <t> 26.08.1951 08:09 </t>
  </si>
  <si>
    <t> 0.00 </t>
  </si>
  <si>
    <t>E </t>
  </si>
  <si>
    <t>?</t>
  </si>
  <si>
    <t> D.M.Popper </t>
  </si>
  <si>
    <t> APJ 139.144 </t>
  </si>
  <si>
    <t>2436729.35 </t>
  </si>
  <si>
    <t> 09.06.1959 20:24 </t>
  </si>
  <si>
    <t>2444993.821 </t>
  </si>
  <si>
    <t> 24.01.1982 07:42 </t>
  </si>
  <si>
    <t> 0.023 </t>
  </si>
  <si>
    <t> T.Brelstaff </t>
  </si>
  <si>
    <t> VSSC 60.20 </t>
  </si>
  <si>
    <t>2447761.543 </t>
  </si>
  <si>
    <t> 23.08.1989 01:01 </t>
  </si>
  <si>
    <t> 0.116 </t>
  </si>
  <si>
    <t> VSSC 73 </t>
  </si>
  <si>
    <t>2452912.417 </t>
  </si>
  <si>
    <t> 29.09.2003 22:00 </t>
  </si>
  <si>
    <t> 0.124 </t>
  </si>
  <si>
    <t> R.Meyer </t>
  </si>
  <si>
    <t>BAVM 174 </t>
  </si>
  <si>
    <t>II</t>
  </si>
  <si>
    <t>28/09/1889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</si>
</sst>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Cyg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87190876798647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-7.9850999999962369</c:v>
                </c:pt>
                <c:pt idx="1">
                  <c:v>-1.500899999993635</c:v>
                </c:pt>
                <c:pt idx="2">
                  <c:v>0.49910000000636501</c:v>
                </c:pt>
                <c:pt idx="3">
                  <c:v>9.5605000000032305</c:v>
                </c:pt>
                <c:pt idx="4">
                  <c:v>3.171200000004319</c:v>
                </c:pt>
                <c:pt idx="5">
                  <c:v>-8.4080999999932828</c:v>
                </c:pt>
                <c:pt idx="6">
                  <c:v>6.0804500000031112</c:v>
                </c:pt>
                <c:pt idx="7">
                  <c:v>9.5525500000039756</c:v>
                </c:pt>
                <c:pt idx="8">
                  <c:v>1.0974000000060187</c:v>
                </c:pt>
                <c:pt idx="9">
                  <c:v>-2.3218999999953667</c:v>
                </c:pt>
                <c:pt idx="10">
                  <c:v>7.5956000000041968</c:v>
                </c:pt>
                <c:pt idx="11">
                  <c:v>-0.61259999999674619</c:v>
                </c:pt>
                <c:pt idx="12">
                  <c:v>8.9150000003428431E-2</c:v>
                </c:pt>
                <c:pt idx="13">
                  <c:v>5.6398500000032072</c:v>
                </c:pt>
                <c:pt idx="14">
                  <c:v>0.95440000000235159</c:v>
                </c:pt>
                <c:pt idx="15">
                  <c:v>-0.10419999999430729</c:v>
                </c:pt>
                <c:pt idx="16">
                  <c:v>5.6368500000025961</c:v>
                </c:pt>
                <c:pt idx="17">
                  <c:v>0.36860000000524451</c:v>
                </c:pt>
                <c:pt idx="18">
                  <c:v>0.90930000000298605</c:v>
                </c:pt>
                <c:pt idx="19">
                  <c:v>0.72965000000476721</c:v>
                </c:pt>
                <c:pt idx="20">
                  <c:v>6.280350000004546</c:v>
                </c:pt>
                <c:pt idx="21">
                  <c:v>1.5028000000056636</c:v>
                </c:pt>
                <c:pt idx="22">
                  <c:v>-0.975799999996525</c:v>
                </c:pt>
                <c:pt idx="23">
                  <c:v>-1.1463999999978114</c:v>
                </c:pt>
                <c:pt idx="24">
                  <c:v>0.75430000000415021</c:v>
                </c:pt>
                <c:pt idx="25">
                  <c:v>-0.14939999999478459</c:v>
                </c:pt>
                <c:pt idx="26">
                  <c:v>-8.93999999971129E-2</c:v>
                </c:pt>
                <c:pt idx="27">
                  <c:v>0.88060000000405125</c:v>
                </c:pt>
                <c:pt idx="28">
                  <c:v>3.8700000004610047E-2</c:v>
                </c:pt>
                <c:pt idx="29">
                  <c:v>0.33940000000438886</c:v>
                </c:pt>
                <c:pt idx="30">
                  <c:v>0.21300000000337604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7-4C84-BB18-E7CC4E4453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1">
                  <c:v>0.51299999999901047</c:v>
                </c:pt>
                <c:pt idx="32">
                  <c:v>9.3700000004901085E-2</c:v>
                </c:pt>
                <c:pt idx="33">
                  <c:v>1.7900000006193295E-2</c:v>
                </c:pt>
                <c:pt idx="34">
                  <c:v>0</c:v>
                </c:pt>
                <c:pt idx="36">
                  <c:v>1.8000000054598786E-3</c:v>
                </c:pt>
                <c:pt idx="37">
                  <c:v>2.3300000008021016E-2</c:v>
                </c:pt>
                <c:pt idx="38">
                  <c:v>0.11570000000210712</c:v>
                </c:pt>
                <c:pt idx="39">
                  <c:v>0.1235000000015134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7-4C84-BB18-E7CC4E4453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7-4C84-BB18-E7CC4E4453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E7-4C84-BB18-E7CC4E4453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E7-4C84-BB18-E7CC4E4453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E7-4C84-BB18-E7CC4E4453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E7-4C84-BB18-E7CC4E4453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-0.1469577930795091</c:v>
                </c:pt>
                <c:pt idx="1">
                  <c:v>-0.14533061235407807</c:v>
                </c:pt>
                <c:pt idx="2">
                  <c:v>-0.14533061235407807</c:v>
                </c:pt>
                <c:pt idx="3">
                  <c:v>-0.14478821877893439</c:v>
                </c:pt>
                <c:pt idx="4">
                  <c:v>-0.14451702199136257</c:v>
                </c:pt>
                <c:pt idx="5">
                  <c:v>-0.14424582520379073</c:v>
                </c:pt>
                <c:pt idx="6">
                  <c:v>-0.13705911033313706</c:v>
                </c:pt>
                <c:pt idx="7">
                  <c:v>-0.13624551997042156</c:v>
                </c:pt>
                <c:pt idx="8">
                  <c:v>-0.12661803401162133</c:v>
                </c:pt>
                <c:pt idx="9">
                  <c:v>-0.12634683722404949</c:v>
                </c:pt>
                <c:pt idx="10">
                  <c:v>-9.2447238777569898E-2</c:v>
                </c:pt>
                <c:pt idx="11">
                  <c:v>-7.2378676497253963E-2</c:v>
                </c:pt>
                <c:pt idx="12">
                  <c:v>-7.1700684528324371E-2</c:v>
                </c:pt>
                <c:pt idx="13">
                  <c:v>-7.1429487740752529E-2</c:v>
                </c:pt>
                <c:pt idx="14">
                  <c:v>-6.9666708621535595E-2</c:v>
                </c:pt>
                <c:pt idx="15">
                  <c:v>-6.9124315046391924E-2</c:v>
                </c:pt>
                <c:pt idx="16">
                  <c:v>-6.871751986503416E-2</c:v>
                </c:pt>
                <c:pt idx="17">
                  <c:v>-6.8039527896104568E-2</c:v>
                </c:pt>
                <c:pt idx="18">
                  <c:v>-6.7768331108532739E-2</c:v>
                </c:pt>
                <c:pt idx="19">
                  <c:v>-6.7632732714746818E-2</c:v>
                </c:pt>
                <c:pt idx="20">
                  <c:v>-6.7361535927174976E-2</c:v>
                </c:pt>
                <c:pt idx="21">
                  <c:v>-6.6412347170673555E-2</c:v>
                </c:pt>
                <c:pt idx="22">
                  <c:v>-6.5869953595529884E-2</c:v>
                </c:pt>
                <c:pt idx="23">
                  <c:v>-5.4479688517512739E-2</c:v>
                </c:pt>
                <c:pt idx="24">
                  <c:v>-5.4208491729940897E-2</c:v>
                </c:pt>
                <c:pt idx="25">
                  <c:v>-5.1767720641794371E-2</c:v>
                </c:pt>
                <c:pt idx="26">
                  <c:v>-5.1767720641794371E-2</c:v>
                </c:pt>
                <c:pt idx="27">
                  <c:v>-5.1767720641794371E-2</c:v>
                </c:pt>
                <c:pt idx="28">
                  <c:v>-2.9258387273331913E-2</c:v>
                </c:pt>
                <c:pt idx="29">
                  <c:v>-2.8987190485760077E-2</c:v>
                </c:pt>
                <c:pt idx="30">
                  <c:v>-1.5969744682311909E-2</c:v>
                </c:pt>
                <c:pt idx="31">
                  <c:v>-1.5969744682311909E-2</c:v>
                </c:pt>
                <c:pt idx="32">
                  <c:v>-1.5698547894740074E-2</c:v>
                </c:pt>
                <c:pt idx="33">
                  <c:v>-1.4071367169309051E-2</c:v>
                </c:pt>
                <c:pt idx="34">
                  <c:v>-1.3257776806593541E-2</c:v>
                </c:pt>
                <c:pt idx="35">
                  <c:v>-1.3257776806593541E-2</c:v>
                </c:pt>
                <c:pt idx="36">
                  <c:v>6.810785473722384E-3</c:v>
                </c:pt>
                <c:pt idx="37">
                  <c:v>6.5118094801667303E-2</c:v>
                </c:pt>
                <c:pt idx="38">
                  <c:v>8.4644263506839554E-2</c:v>
                </c:pt>
                <c:pt idx="39">
                  <c:v>0.12098463304146567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E7-4C84-BB18-E7CC4E44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51456"/>
        <c:axId val="1"/>
      </c:scatterChart>
      <c:valAx>
        <c:axId val="5195514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5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KU Cyg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3917525773196"/>
          <c:y val="0.14723926380368099"/>
          <c:w val="0.7896907216494845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-7.9850999999962369</c:v>
                </c:pt>
                <c:pt idx="1">
                  <c:v>-1.500899999993635</c:v>
                </c:pt>
                <c:pt idx="2">
                  <c:v>0.49910000000636501</c:v>
                </c:pt>
                <c:pt idx="3">
                  <c:v>9.5605000000032305</c:v>
                </c:pt>
                <c:pt idx="4">
                  <c:v>3.171200000004319</c:v>
                </c:pt>
                <c:pt idx="5">
                  <c:v>-8.4080999999932828</c:v>
                </c:pt>
                <c:pt idx="6">
                  <c:v>6.0804500000031112</c:v>
                </c:pt>
                <c:pt idx="7">
                  <c:v>9.5525500000039756</c:v>
                </c:pt>
                <c:pt idx="8">
                  <c:v>1.0974000000060187</c:v>
                </c:pt>
                <c:pt idx="9">
                  <c:v>-2.3218999999953667</c:v>
                </c:pt>
                <c:pt idx="10">
                  <c:v>7.5956000000041968</c:v>
                </c:pt>
                <c:pt idx="11">
                  <c:v>-0.61259999999674619</c:v>
                </c:pt>
                <c:pt idx="12">
                  <c:v>8.9150000003428431E-2</c:v>
                </c:pt>
                <c:pt idx="13">
                  <c:v>5.6398500000032072</c:v>
                </c:pt>
                <c:pt idx="14">
                  <c:v>0.95440000000235159</c:v>
                </c:pt>
                <c:pt idx="15">
                  <c:v>-0.10419999999430729</c:v>
                </c:pt>
                <c:pt idx="16">
                  <c:v>5.6368500000025961</c:v>
                </c:pt>
                <c:pt idx="17">
                  <c:v>0.36860000000524451</c:v>
                </c:pt>
                <c:pt idx="18">
                  <c:v>0.90930000000298605</c:v>
                </c:pt>
                <c:pt idx="19">
                  <c:v>0.72965000000476721</c:v>
                </c:pt>
                <c:pt idx="20">
                  <c:v>6.280350000004546</c:v>
                </c:pt>
                <c:pt idx="21">
                  <c:v>1.5028000000056636</c:v>
                </c:pt>
                <c:pt idx="22">
                  <c:v>-0.975799999996525</c:v>
                </c:pt>
                <c:pt idx="23">
                  <c:v>-1.1463999999978114</c:v>
                </c:pt>
                <c:pt idx="24">
                  <c:v>0.75430000000415021</c:v>
                </c:pt>
                <c:pt idx="25">
                  <c:v>-0.14939999999478459</c:v>
                </c:pt>
                <c:pt idx="26">
                  <c:v>-8.93999999971129E-2</c:v>
                </c:pt>
                <c:pt idx="27">
                  <c:v>0.88060000000405125</c:v>
                </c:pt>
                <c:pt idx="28">
                  <c:v>3.8700000004610047E-2</c:v>
                </c:pt>
                <c:pt idx="29">
                  <c:v>0.33940000000438886</c:v>
                </c:pt>
                <c:pt idx="30">
                  <c:v>0.21300000000337604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87-44A0-8DBB-88364E4ACA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1">
                  <c:v>0.51299999999901047</c:v>
                </c:pt>
                <c:pt idx="32">
                  <c:v>9.3700000004901085E-2</c:v>
                </c:pt>
                <c:pt idx="33">
                  <c:v>1.7900000006193295E-2</c:v>
                </c:pt>
                <c:pt idx="34">
                  <c:v>0</c:v>
                </c:pt>
                <c:pt idx="36">
                  <c:v>1.8000000054598786E-3</c:v>
                </c:pt>
                <c:pt idx="37">
                  <c:v>2.3300000008021016E-2</c:v>
                </c:pt>
                <c:pt idx="38">
                  <c:v>0.11570000000210712</c:v>
                </c:pt>
                <c:pt idx="39">
                  <c:v>0.1235000000015134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87-44A0-8DBB-88364E4ACA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87-44A0-8DBB-88364E4ACA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87-44A0-8DBB-88364E4ACA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87-44A0-8DBB-88364E4ACA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87-44A0-8DBB-88364E4ACA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87-44A0-8DBB-88364E4ACA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-493</c:v>
                </c:pt>
                <c:pt idx="1">
                  <c:v>-487</c:v>
                </c:pt>
                <c:pt idx="2">
                  <c:v>-487</c:v>
                </c:pt>
                <c:pt idx="3">
                  <c:v>-485</c:v>
                </c:pt>
                <c:pt idx="4">
                  <c:v>-484</c:v>
                </c:pt>
                <c:pt idx="5">
                  <c:v>-483</c:v>
                </c:pt>
                <c:pt idx="6">
                  <c:v>-456.5</c:v>
                </c:pt>
                <c:pt idx="7">
                  <c:v>-453.5</c:v>
                </c:pt>
                <c:pt idx="8">
                  <c:v>-418</c:v>
                </c:pt>
                <c:pt idx="9">
                  <c:v>-417</c:v>
                </c:pt>
                <c:pt idx="10">
                  <c:v>-292</c:v>
                </c:pt>
                <c:pt idx="11">
                  <c:v>-218</c:v>
                </c:pt>
                <c:pt idx="12">
                  <c:v>-215.5</c:v>
                </c:pt>
                <c:pt idx="13">
                  <c:v>-214.5</c:v>
                </c:pt>
                <c:pt idx="14">
                  <c:v>-208</c:v>
                </c:pt>
                <c:pt idx="15">
                  <c:v>-206</c:v>
                </c:pt>
                <c:pt idx="16">
                  <c:v>-204.5</c:v>
                </c:pt>
                <c:pt idx="17">
                  <c:v>-202</c:v>
                </c:pt>
                <c:pt idx="18">
                  <c:v>-201</c:v>
                </c:pt>
                <c:pt idx="19">
                  <c:v>-200.5</c:v>
                </c:pt>
                <c:pt idx="20">
                  <c:v>-199.5</c:v>
                </c:pt>
                <c:pt idx="21">
                  <c:v>-196</c:v>
                </c:pt>
                <c:pt idx="22">
                  <c:v>-194</c:v>
                </c:pt>
                <c:pt idx="23">
                  <c:v>-152</c:v>
                </c:pt>
                <c:pt idx="24">
                  <c:v>-151</c:v>
                </c:pt>
                <c:pt idx="25">
                  <c:v>-142</c:v>
                </c:pt>
                <c:pt idx="26">
                  <c:v>-142</c:v>
                </c:pt>
                <c:pt idx="27">
                  <c:v>-142</c:v>
                </c:pt>
                <c:pt idx="28">
                  <c:v>-59</c:v>
                </c:pt>
                <c:pt idx="29">
                  <c:v>-58</c:v>
                </c:pt>
                <c:pt idx="30">
                  <c:v>-10</c:v>
                </c:pt>
                <c:pt idx="31">
                  <c:v>-10</c:v>
                </c:pt>
                <c:pt idx="32">
                  <c:v>-9</c:v>
                </c:pt>
                <c:pt idx="33">
                  <c:v>-3</c:v>
                </c:pt>
                <c:pt idx="34">
                  <c:v>0</c:v>
                </c:pt>
                <c:pt idx="35">
                  <c:v>0</c:v>
                </c:pt>
                <c:pt idx="36">
                  <c:v>74</c:v>
                </c:pt>
                <c:pt idx="37">
                  <c:v>289</c:v>
                </c:pt>
                <c:pt idx="38">
                  <c:v>361</c:v>
                </c:pt>
                <c:pt idx="39">
                  <c:v>495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-0.1469577930795091</c:v>
                </c:pt>
                <c:pt idx="1">
                  <c:v>-0.14533061235407807</c:v>
                </c:pt>
                <c:pt idx="2">
                  <c:v>-0.14533061235407807</c:v>
                </c:pt>
                <c:pt idx="3">
                  <c:v>-0.14478821877893439</c:v>
                </c:pt>
                <c:pt idx="4">
                  <c:v>-0.14451702199136257</c:v>
                </c:pt>
                <c:pt idx="5">
                  <c:v>-0.14424582520379073</c:v>
                </c:pt>
                <c:pt idx="6">
                  <c:v>-0.13705911033313706</c:v>
                </c:pt>
                <c:pt idx="7">
                  <c:v>-0.13624551997042156</c:v>
                </c:pt>
                <c:pt idx="8">
                  <c:v>-0.12661803401162133</c:v>
                </c:pt>
                <c:pt idx="9">
                  <c:v>-0.12634683722404949</c:v>
                </c:pt>
                <c:pt idx="10">
                  <c:v>-9.2447238777569898E-2</c:v>
                </c:pt>
                <c:pt idx="11">
                  <c:v>-7.2378676497253963E-2</c:v>
                </c:pt>
                <c:pt idx="12">
                  <c:v>-7.1700684528324371E-2</c:v>
                </c:pt>
                <c:pt idx="13">
                  <c:v>-7.1429487740752529E-2</c:v>
                </c:pt>
                <c:pt idx="14">
                  <c:v>-6.9666708621535595E-2</c:v>
                </c:pt>
                <c:pt idx="15">
                  <c:v>-6.9124315046391924E-2</c:v>
                </c:pt>
                <c:pt idx="16">
                  <c:v>-6.871751986503416E-2</c:v>
                </c:pt>
                <c:pt idx="17">
                  <c:v>-6.8039527896104568E-2</c:v>
                </c:pt>
                <c:pt idx="18">
                  <c:v>-6.7768331108532739E-2</c:v>
                </c:pt>
                <c:pt idx="19">
                  <c:v>-6.7632732714746818E-2</c:v>
                </c:pt>
                <c:pt idx="20">
                  <c:v>-6.7361535927174976E-2</c:v>
                </c:pt>
                <c:pt idx="21">
                  <c:v>-6.6412347170673555E-2</c:v>
                </c:pt>
                <c:pt idx="22">
                  <c:v>-6.5869953595529884E-2</c:v>
                </c:pt>
                <c:pt idx="23">
                  <c:v>-5.4479688517512739E-2</c:v>
                </c:pt>
                <c:pt idx="24">
                  <c:v>-5.4208491729940897E-2</c:v>
                </c:pt>
                <c:pt idx="25">
                  <c:v>-5.1767720641794371E-2</c:v>
                </c:pt>
                <c:pt idx="26">
                  <c:v>-5.1767720641794371E-2</c:v>
                </c:pt>
                <c:pt idx="27">
                  <c:v>-5.1767720641794371E-2</c:v>
                </c:pt>
                <c:pt idx="28">
                  <c:v>-2.9258387273331913E-2</c:v>
                </c:pt>
                <c:pt idx="29">
                  <c:v>-2.8987190485760077E-2</c:v>
                </c:pt>
                <c:pt idx="30">
                  <c:v>-1.5969744682311909E-2</c:v>
                </c:pt>
                <c:pt idx="31">
                  <c:v>-1.5969744682311909E-2</c:v>
                </c:pt>
                <c:pt idx="32">
                  <c:v>-1.5698547894740074E-2</c:v>
                </c:pt>
                <c:pt idx="33">
                  <c:v>-1.4071367169309051E-2</c:v>
                </c:pt>
                <c:pt idx="34">
                  <c:v>-1.3257776806593541E-2</c:v>
                </c:pt>
                <c:pt idx="35">
                  <c:v>-1.3257776806593541E-2</c:v>
                </c:pt>
                <c:pt idx="36">
                  <c:v>6.810785473722384E-3</c:v>
                </c:pt>
                <c:pt idx="37">
                  <c:v>6.5118094801667303E-2</c:v>
                </c:pt>
                <c:pt idx="38">
                  <c:v>8.4644263506839554E-2</c:v>
                </c:pt>
                <c:pt idx="39">
                  <c:v>0.12098463304146567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87-44A0-8DBB-88364E4A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558296"/>
        <c:axId val="1"/>
      </c:scatterChart>
      <c:valAx>
        <c:axId val="519558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558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</xdr:rowOff>
    </xdr:from>
    <xdr:to>
      <xdr:col>17</xdr:col>
      <xdr:colOff>333375</xdr:colOff>
      <xdr:row>17</xdr:row>
      <xdr:rowOff>114301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E71FE9-8926-6EFC-4022-A2F6F02C0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27</xdr:col>
      <xdr:colOff>123825</xdr:colOff>
      <xdr:row>17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DEABDBA-8055-1295-91A8-06C0EB570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595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s="32" t="s">
        <v>47</v>
      </c>
    </row>
    <row r="4" spans="1:6" ht="14.25" thickTop="1" thickBot="1">
      <c r="A4" s="6" t="s">
        <v>0</v>
      </c>
      <c r="C4" s="3">
        <v>33884.839999999997</v>
      </c>
      <c r="D4" s="4">
        <v>38.439300000000003</v>
      </c>
    </row>
    <row r="5" spans="1:6" ht="13.5" thickTop="1">
      <c r="A5" s="13" t="s">
        <v>36</v>
      </c>
      <c r="B5" s="14"/>
      <c r="C5" s="15">
        <v>-9.5</v>
      </c>
      <c r="D5" s="14" t="s">
        <v>37</v>
      </c>
    </row>
    <row r="6" spans="1:6">
      <c r="A6" s="6" t="s">
        <v>1</v>
      </c>
    </row>
    <row r="7" spans="1:6">
      <c r="A7" t="s">
        <v>2</v>
      </c>
      <c r="C7">
        <f>+C4</f>
        <v>33884.839999999997</v>
      </c>
    </row>
    <row r="8" spans="1:6">
      <c r="A8" t="s">
        <v>3</v>
      </c>
      <c r="C8">
        <f>+D4</f>
        <v>38.439300000000003</v>
      </c>
    </row>
    <row r="9" spans="1:6">
      <c r="A9" s="28" t="s">
        <v>43</v>
      </c>
      <c r="B9" s="29">
        <v>56</v>
      </c>
      <c r="C9" s="18" t="str">
        <f>"F"&amp;B9</f>
        <v>F56</v>
      </c>
      <c r="D9" s="9" t="str">
        <f>"G"&amp;B9</f>
        <v>G56</v>
      </c>
    </row>
    <row r="10" spans="1:6" ht="13.5" thickBot="1">
      <c r="A10" s="14"/>
      <c r="B10" s="14"/>
      <c r="C10" s="5" t="s">
        <v>20</v>
      </c>
      <c r="D10" s="5" t="s">
        <v>21</v>
      </c>
      <c r="E10" s="14"/>
    </row>
    <row r="11" spans="1:6">
      <c r="A11" s="14" t="s">
        <v>16</v>
      </c>
      <c r="B11" s="14"/>
      <c r="C11" s="16">
        <f ca="1">INTERCEPT(INDIRECT($D$9):G992,INDIRECT($C$9):F992)</f>
        <v>-1.3257776806593541E-2</v>
      </c>
      <c r="D11" s="17"/>
      <c r="E11" s="14"/>
    </row>
    <row r="12" spans="1:6">
      <c r="A12" s="14" t="s">
        <v>17</v>
      </c>
      <c r="B12" s="14"/>
      <c r="C12" s="16">
        <f ca="1">SLOPE(INDIRECT($D$9):G992,INDIRECT($C$9):F992)</f>
        <v>2.7119678757183682E-4</v>
      </c>
      <c r="D12" s="17"/>
      <c r="E12" s="14"/>
    </row>
    <row r="13" spans="1:6">
      <c r="A13" s="14" t="s">
        <v>19</v>
      </c>
      <c r="B13" s="14"/>
      <c r="C13" s="17" t="s">
        <v>14</v>
      </c>
    </row>
    <row r="14" spans="1:6">
      <c r="A14" s="14"/>
      <c r="B14" s="14"/>
      <c r="C14" s="14"/>
    </row>
    <row r="15" spans="1:6">
      <c r="A15" s="21" t="s">
        <v>18</v>
      </c>
      <c r="B15" s="14"/>
      <c r="C15" s="22">
        <f ca="1">(C7+C11)+(C8+C12)*INT(MAX(F21:F3533))</f>
        <v>52912.414484633038</v>
      </c>
      <c r="E15" s="19" t="s">
        <v>38</v>
      </c>
      <c r="F15" s="15">
        <v>1</v>
      </c>
    </row>
    <row r="16" spans="1:6">
      <c r="A16" s="23" t="s">
        <v>4</v>
      </c>
      <c r="B16" s="14"/>
      <c r="C16" s="24">
        <f ca="1">+C8+C12</f>
        <v>38.439571196787576</v>
      </c>
      <c r="E16" s="19" t="s">
        <v>39</v>
      </c>
      <c r="F16" s="20">
        <f ca="1">NOW()+15018.5+$C$5/24</f>
        <v>60339.808167361109</v>
      </c>
    </row>
    <row r="17" spans="1:17" ht="13.5" thickBot="1">
      <c r="A17" s="19" t="s">
        <v>34</v>
      </c>
      <c r="B17" s="14"/>
      <c r="C17" s="14">
        <f>COUNT(C21:C2191)</f>
        <v>40</v>
      </c>
      <c r="E17" s="19" t="s">
        <v>40</v>
      </c>
      <c r="F17" s="20">
        <f ca="1">ROUND(2*(F16-$C$7)/$C$8,0)/2+F15</f>
        <v>689</v>
      </c>
    </row>
    <row r="18" spans="1:17" ht="14.25" thickTop="1" thickBot="1">
      <c r="A18" s="23" t="s">
        <v>5</v>
      </c>
      <c r="B18" s="14"/>
      <c r="C18" s="26">
        <f ca="1">+C15</f>
        <v>52912.414484633038</v>
      </c>
      <c r="D18" s="27">
        <f ca="1">+C16</f>
        <v>38.439571196787576</v>
      </c>
      <c r="E18" s="19" t="s">
        <v>41</v>
      </c>
      <c r="F18" s="9">
        <f ca="1">ROUND(2*(F16-$C$15)/$C$16,0)/2+F15</f>
        <v>194</v>
      </c>
    </row>
    <row r="19" spans="1:17" ht="13.5" thickTop="1">
      <c r="E19" s="19" t="s">
        <v>42</v>
      </c>
      <c r="F19" s="25">
        <f ca="1">+$C$15+$C$16*F18-15018.5-$C$5/24</f>
        <v>45351.587130143162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55</v>
      </c>
      <c r="I20" s="8" t="s">
        <v>46</v>
      </c>
      <c r="J20" s="8" t="s">
        <v>52</v>
      </c>
      <c r="K20" s="8" t="s">
        <v>50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s="46" t="s">
        <v>64</v>
      </c>
      <c r="B21" s="47" t="s">
        <v>196</v>
      </c>
      <c r="C21" s="46">
        <v>14926.28</v>
      </c>
      <c r="D21" s="46" t="s">
        <v>46</v>
      </c>
      <c r="E21">
        <f t="shared" ref="E21:E60" si="0">+(C21-C$7)/C$8</f>
        <v>-493.20773271105344</v>
      </c>
      <c r="F21">
        <f t="shared" ref="F21:F60" si="1">ROUND(2*E21,0)/2</f>
        <v>-493</v>
      </c>
      <c r="G21">
        <f t="shared" ref="G21:G51" si="2">+C21-(C$7+F21*C$8)</f>
        <v>-7.9850999999962369</v>
      </c>
      <c r="H21">
        <f t="shared" ref="H21:H51" si="3">+G21</f>
        <v>-7.9850999999962369</v>
      </c>
      <c r="O21">
        <f t="shared" ref="O21:O60" ca="1" si="4">+C$11+C$12*F21</f>
        <v>-0.1469577930795091</v>
      </c>
      <c r="Q21" s="2" t="s">
        <v>197</v>
      </c>
    </row>
    <row r="22" spans="1:17">
      <c r="A22" s="46" t="s">
        <v>64</v>
      </c>
      <c r="B22" s="47" t="s">
        <v>45</v>
      </c>
      <c r="C22" s="46">
        <v>15163.4</v>
      </c>
      <c r="D22" s="46" t="s">
        <v>46</v>
      </c>
      <c r="E22">
        <f t="shared" si="0"/>
        <v>-487.03904597638336</v>
      </c>
      <c r="F22">
        <f t="shared" si="1"/>
        <v>-487</v>
      </c>
      <c r="G22">
        <f t="shared" si="2"/>
        <v>-1.500899999993635</v>
      </c>
      <c r="H22">
        <f t="shared" si="3"/>
        <v>-1.500899999993635</v>
      </c>
      <c r="O22">
        <f t="shared" ca="1" si="4"/>
        <v>-0.14533061235407807</v>
      </c>
      <c r="Q22" s="2">
        <f t="shared" ref="Q21:Q60" si="5">+C22-15018.5</f>
        <v>144.89999999999964</v>
      </c>
    </row>
    <row r="23" spans="1:17">
      <c r="A23" s="46" t="s">
        <v>71</v>
      </c>
      <c r="B23" s="47" t="s">
        <v>45</v>
      </c>
      <c r="C23" s="46">
        <v>15165.4</v>
      </c>
      <c r="D23" s="46" t="s">
        <v>46</v>
      </c>
      <c r="E23">
        <f t="shared" si="0"/>
        <v>-486.98701589258894</v>
      </c>
      <c r="F23">
        <f t="shared" si="1"/>
        <v>-487</v>
      </c>
      <c r="G23">
        <f t="shared" si="2"/>
        <v>0.49910000000636501</v>
      </c>
      <c r="H23">
        <f t="shared" si="3"/>
        <v>0.49910000000636501</v>
      </c>
      <c r="O23">
        <f t="shared" ca="1" si="4"/>
        <v>-0.14533061235407807</v>
      </c>
      <c r="Q23" s="2">
        <f t="shared" si="5"/>
        <v>146.89999999999964</v>
      </c>
    </row>
    <row r="24" spans="1:17">
      <c r="A24" s="46" t="s">
        <v>64</v>
      </c>
      <c r="B24" s="47" t="s">
        <v>45</v>
      </c>
      <c r="C24" s="46">
        <v>15251.34</v>
      </c>
      <c r="D24" s="46" t="s">
        <v>46</v>
      </c>
      <c r="E24">
        <f t="shared" si="0"/>
        <v>-484.75128319194147</v>
      </c>
      <c r="F24">
        <f t="shared" si="1"/>
        <v>-485</v>
      </c>
      <c r="G24">
        <f t="shared" si="2"/>
        <v>9.5605000000032305</v>
      </c>
      <c r="H24">
        <f t="shared" si="3"/>
        <v>9.5605000000032305</v>
      </c>
      <c r="O24">
        <f t="shared" ca="1" si="4"/>
        <v>-0.14478821877893439</v>
      </c>
      <c r="Q24" s="2">
        <f t="shared" si="5"/>
        <v>232.84000000000015</v>
      </c>
    </row>
    <row r="25" spans="1:17">
      <c r="A25" s="46" t="s">
        <v>64</v>
      </c>
      <c r="B25" s="47" t="s">
        <v>45</v>
      </c>
      <c r="C25" s="46">
        <v>15283.39</v>
      </c>
      <c r="D25" s="46" t="s">
        <v>46</v>
      </c>
      <c r="E25">
        <f t="shared" si="0"/>
        <v>-483.91750109913539</v>
      </c>
      <c r="F25">
        <f t="shared" si="1"/>
        <v>-484</v>
      </c>
      <c r="G25">
        <f t="shared" si="2"/>
        <v>3.171200000004319</v>
      </c>
      <c r="H25">
        <f t="shared" si="3"/>
        <v>3.171200000004319</v>
      </c>
      <c r="O25">
        <f t="shared" ca="1" si="4"/>
        <v>-0.14451702199136257</v>
      </c>
      <c r="Q25" s="2">
        <f t="shared" si="5"/>
        <v>264.88999999999942</v>
      </c>
    </row>
    <row r="26" spans="1:17">
      <c r="A26" s="46" t="s">
        <v>64</v>
      </c>
      <c r="B26" s="47" t="s">
        <v>196</v>
      </c>
      <c r="C26" s="46">
        <v>15310.25</v>
      </c>
      <c r="D26" s="46" t="s">
        <v>46</v>
      </c>
      <c r="E26">
        <f t="shared" si="0"/>
        <v>-483.21873707377591</v>
      </c>
      <c r="F26">
        <f t="shared" si="1"/>
        <v>-483</v>
      </c>
      <c r="G26">
        <f t="shared" si="2"/>
        <v>-8.4080999999932828</v>
      </c>
      <c r="H26">
        <f t="shared" si="3"/>
        <v>-8.4080999999932828</v>
      </c>
      <c r="O26">
        <f t="shared" ca="1" si="4"/>
        <v>-0.14424582520379073</v>
      </c>
      <c r="Q26" s="2">
        <f t="shared" si="5"/>
        <v>291.75</v>
      </c>
    </row>
    <row r="27" spans="1:17">
      <c r="A27" s="46" t="s">
        <v>64</v>
      </c>
      <c r="B27" s="47" t="s">
        <v>196</v>
      </c>
      <c r="C27" s="46">
        <v>16343.38</v>
      </c>
      <c r="D27" s="46" t="s">
        <v>46</v>
      </c>
      <c r="E27">
        <f t="shared" si="0"/>
        <v>-456.34181683849596</v>
      </c>
      <c r="F27">
        <f t="shared" si="1"/>
        <v>-456.5</v>
      </c>
      <c r="G27">
        <f t="shared" si="2"/>
        <v>6.0804500000031112</v>
      </c>
      <c r="H27">
        <f t="shared" si="3"/>
        <v>6.0804500000031112</v>
      </c>
      <c r="O27">
        <f t="shared" ca="1" si="4"/>
        <v>-0.13705911033313706</v>
      </c>
      <c r="Q27" s="2">
        <f t="shared" si="5"/>
        <v>1324.8799999999992</v>
      </c>
    </row>
    <row r="28" spans="1:17">
      <c r="A28" s="46" t="s">
        <v>64</v>
      </c>
      <c r="B28" s="47" t="s">
        <v>45</v>
      </c>
      <c r="C28" s="46">
        <v>16462.169999999998</v>
      </c>
      <c r="D28" s="46" t="s">
        <v>46</v>
      </c>
      <c r="E28">
        <f t="shared" si="0"/>
        <v>-453.2514900115246</v>
      </c>
      <c r="F28">
        <f t="shared" si="1"/>
        <v>-453.5</v>
      </c>
      <c r="G28">
        <f t="shared" si="2"/>
        <v>9.5525500000039756</v>
      </c>
      <c r="H28">
        <f t="shared" si="3"/>
        <v>9.5525500000039756</v>
      </c>
      <c r="O28">
        <f t="shared" ca="1" si="4"/>
        <v>-0.13624551997042156</v>
      </c>
      <c r="Q28" s="2">
        <f t="shared" si="5"/>
        <v>1443.6699999999983</v>
      </c>
    </row>
    <row r="29" spans="1:17">
      <c r="A29" s="46" t="s">
        <v>71</v>
      </c>
      <c r="B29" s="47" t="s">
        <v>45</v>
      </c>
      <c r="C29" s="46">
        <v>17818.310000000001</v>
      </c>
      <c r="D29" s="46" t="s">
        <v>46</v>
      </c>
      <c r="E29">
        <f t="shared" si="0"/>
        <v>-417.97145109302181</v>
      </c>
      <c r="F29">
        <f t="shared" si="1"/>
        <v>-418</v>
      </c>
      <c r="G29">
        <f t="shared" si="2"/>
        <v>1.0974000000060187</v>
      </c>
      <c r="H29">
        <f t="shared" si="3"/>
        <v>1.0974000000060187</v>
      </c>
      <c r="O29">
        <f t="shared" ca="1" si="4"/>
        <v>-0.12661803401162133</v>
      </c>
      <c r="Q29" s="2">
        <f t="shared" si="5"/>
        <v>2799.8100000000013</v>
      </c>
    </row>
    <row r="30" spans="1:17">
      <c r="A30" s="46" t="s">
        <v>64</v>
      </c>
      <c r="B30" s="47" t="s">
        <v>45</v>
      </c>
      <c r="C30" s="46">
        <v>17853.330000000002</v>
      </c>
      <c r="D30" s="46" t="s">
        <v>46</v>
      </c>
      <c r="E30">
        <f t="shared" si="0"/>
        <v>-417.06040432578101</v>
      </c>
      <c r="F30">
        <f t="shared" si="1"/>
        <v>-417</v>
      </c>
      <c r="G30">
        <f t="shared" si="2"/>
        <v>-2.3218999999953667</v>
      </c>
      <c r="H30">
        <f t="shared" si="3"/>
        <v>-2.3218999999953667</v>
      </c>
      <c r="O30">
        <f t="shared" ca="1" si="4"/>
        <v>-0.12634683722404949</v>
      </c>
      <c r="Q30" s="2">
        <f t="shared" si="5"/>
        <v>2834.8300000000017</v>
      </c>
    </row>
    <row r="31" spans="1:17">
      <c r="A31" s="46" t="s">
        <v>64</v>
      </c>
      <c r="B31" s="47" t="s">
        <v>45</v>
      </c>
      <c r="C31" s="46">
        <v>22668.16</v>
      </c>
      <c r="D31" s="46" t="s">
        <v>46</v>
      </c>
      <c r="E31">
        <f t="shared" si="0"/>
        <v>-291.80240014776535</v>
      </c>
      <c r="F31">
        <f t="shared" si="1"/>
        <v>-292</v>
      </c>
      <c r="G31">
        <f t="shared" si="2"/>
        <v>7.5956000000041968</v>
      </c>
      <c r="H31">
        <f t="shared" si="3"/>
        <v>7.5956000000041968</v>
      </c>
      <c r="O31">
        <f t="shared" ca="1" si="4"/>
        <v>-9.2447238777569898E-2</v>
      </c>
      <c r="Q31" s="2">
        <f t="shared" si="5"/>
        <v>7649.66</v>
      </c>
    </row>
    <row r="32" spans="1:17">
      <c r="A32" s="46" t="s">
        <v>100</v>
      </c>
      <c r="B32" s="47" t="s">
        <v>45</v>
      </c>
      <c r="C32" s="46">
        <v>25504.46</v>
      </c>
      <c r="D32" s="46" t="s">
        <v>46</v>
      </c>
      <c r="E32">
        <f t="shared" si="0"/>
        <v>-218.01593681466616</v>
      </c>
      <c r="F32">
        <f t="shared" si="1"/>
        <v>-218</v>
      </c>
      <c r="G32">
        <f t="shared" si="2"/>
        <v>-0.61259999999674619</v>
      </c>
      <c r="H32">
        <f t="shared" si="3"/>
        <v>-0.61259999999674619</v>
      </c>
      <c r="O32">
        <f t="shared" ca="1" si="4"/>
        <v>-7.2378676497253963E-2</v>
      </c>
      <c r="Q32" s="2">
        <f t="shared" si="5"/>
        <v>10485.96</v>
      </c>
    </row>
    <row r="33" spans="1:17">
      <c r="A33" s="46" t="s">
        <v>104</v>
      </c>
      <c r="B33" s="47" t="s">
        <v>196</v>
      </c>
      <c r="C33" s="46">
        <v>25601.26</v>
      </c>
      <c r="D33" s="46" t="s">
        <v>46</v>
      </c>
      <c r="E33">
        <f t="shared" si="0"/>
        <v>-215.4976807590148</v>
      </c>
      <c r="F33">
        <f t="shared" si="1"/>
        <v>-215.5</v>
      </c>
      <c r="G33">
        <f t="shared" si="2"/>
        <v>8.9150000003428431E-2</v>
      </c>
      <c r="H33">
        <f t="shared" si="3"/>
        <v>8.9150000003428431E-2</v>
      </c>
      <c r="O33">
        <f t="shared" ca="1" si="4"/>
        <v>-7.1700684528324371E-2</v>
      </c>
      <c r="Q33" s="2">
        <f t="shared" si="5"/>
        <v>10582.759999999998</v>
      </c>
    </row>
    <row r="34" spans="1:17">
      <c r="A34" s="46" t="s">
        <v>104</v>
      </c>
      <c r="B34" s="47" t="s">
        <v>196</v>
      </c>
      <c r="C34" s="46">
        <v>25645.25</v>
      </c>
      <c r="D34" s="46" t="s">
        <v>46</v>
      </c>
      <c r="E34">
        <f t="shared" si="0"/>
        <v>-214.35327906595583</v>
      </c>
      <c r="F34">
        <f t="shared" si="1"/>
        <v>-214.5</v>
      </c>
      <c r="G34">
        <f t="shared" si="2"/>
        <v>5.6398500000032072</v>
      </c>
      <c r="H34">
        <f t="shared" si="3"/>
        <v>5.6398500000032072</v>
      </c>
      <c r="O34">
        <f t="shared" ca="1" si="4"/>
        <v>-7.1429487740752529E-2</v>
      </c>
      <c r="Q34" s="2">
        <f t="shared" si="5"/>
        <v>10626.75</v>
      </c>
    </row>
    <row r="35" spans="1:17">
      <c r="A35" s="46" t="s">
        <v>104</v>
      </c>
      <c r="B35" s="47" t="s">
        <v>45</v>
      </c>
      <c r="C35" s="46">
        <v>25890.42</v>
      </c>
      <c r="D35" s="46" t="s">
        <v>46</v>
      </c>
      <c r="E35">
        <f t="shared" si="0"/>
        <v>-207.97517124401324</v>
      </c>
      <c r="F35">
        <f t="shared" si="1"/>
        <v>-208</v>
      </c>
      <c r="G35">
        <f t="shared" si="2"/>
        <v>0.95440000000235159</v>
      </c>
      <c r="H35">
        <f t="shared" si="3"/>
        <v>0.95440000000235159</v>
      </c>
      <c r="O35">
        <f t="shared" ca="1" si="4"/>
        <v>-6.9666708621535595E-2</v>
      </c>
      <c r="Q35" s="2">
        <f t="shared" si="5"/>
        <v>10871.919999999998</v>
      </c>
    </row>
    <row r="36" spans="1:17">
      <c r="A36" s="46" t="s">
        <v>104</v>
      </c>
      <c r="B36" s="47" t="s">
        <v>45</v>
      </c>
      <c r="C36" s="46">
        <v>25966.240000000002</v>
      </c>
      <c r="D36" s="46" t="s">
        <v>46</v>
      </c>
      <c r="E36">
        <f t="shared" si="0"/>
        <v>-206.00271076736556</v>
      </c>
      <c r="F36">
        <f t="shared" si="1"/>
        <v>-206</v>
      </c>
      <c r="G36">
        <f t="shared" si="2"/>
        <v>-0.10419999999430729</v>
      </c>
      <c r="H36">
        <f t="shared" si="3"/>
        <v>-0.10419999999430729</v>
      </c>
      <c r="O36">
        <f t="shared" ca="1" si="4"/>
        <v>-6.9124315046391924E-2</v>
      </c>
      <c r="Q36" s="2">
        <f t="shared" si="5"/>
        <v>10947.740000000002</v>
      </c>
    </row>
    <row r="37" spans="1:17">
      <c r="A37" s="46" t="s">
        <v>104</v>
      </c>
      <c r="B37" s="47" t="s">
        <v>196</v>
      </c>
      <c r="C37" s="46">
        <v>26029.64</v>
      </c>
      <c r="D37" s="46" t="s">
        <v>46</v>
      </c>
      <c r="E37">
        <f t="shared" si="0"/>
        <v>-204.35335711108155</v>
      </c>
      <c r="F37">
        <f t="shared" si="1"/>
        <v>-204.5</v>
      </c>
      <c r="G37">
        <f t="shared" si="2"/>
        <v>5.6368500000025961</v>
      </c>
      <c r="H37">
        <f t="shared" si="3"/>
        <v>5.6368500000025961</v>
      </c>
      <c r="O37">
        <f t="shared" ca="1" si="4"/>
        <v>-6.871751986503416E-2</v>
      </c>
      <c r="Q37" s="2">
        <f t="shared" si="5"/>
        <v>11011.14</v>
      </c>
    </row>
    <row r="38" spans="1:17">
      <c r="A38" s="46" t="s">
        <v>104</v>
      </c>
      <c r="B38" s="47" t="s">
        <v>45</v>
      </c>
      <c r="C38" s="46">
        <v>26120.47</v>
      </c>
      <c r="D38" s="46" t="s">
        <v>46</v>
      </c>
      <c r="E38">
        <f t="shared" si="0"/>
        <v>-201.99041085555655</v>
      </c>
      <c r="F38">
        <f t="shared" si="1"/>
        <v>-202</v>
      </c>
      <c r="G38">
        <f t="shared" si="2"/>
        <v>0.36860000000524451</v>
      </c>
      <c r="H38">
        <f t="shared" si="3"/>
        <v>0.36860000000524451</v>
      </c>
      <c r="O38">
        <f t="shared" ca="1" si="4"/>
        <v>-6.8039527896104568E-2</v>
      </c>
      <c r="Q38" s="2">
        <f t="shared" si="5"/>
        <v>11101.970000000001</v>
      </c>
    </row>
    <row r="39" spans="1:17">
      <c r="A39" s="46" t="s">
        <v>104</v>
      </c>
      <c r="B39" s="47" t="s">
        <v>45</v>
      </c>
      <c r="C39" s="46">
        <v>26159.45</v>
      </c>
      <c r="D39" s="46" t="s">
        <v>46</v>
      </c>
      <c r="E39">
        <f t="shared" si="0"/>
        <v>-200.97634452240274</v>
      </c>
      <c r="F39">
        <f t="shared" si="1"/>
        <v>-201</v>
      </c>
      <c r="G39">
        <f t="shared" si="2"/>
        <v>0.90930000000298605</v>
      </c>
      <c r="H39">
        <f t="shared" si="3"/>
        <v>0.90930000000298605</v>
      </c>
      <c r="O39">
        <f t="shared" ca="1" si="4"/>
        <v>-6.7768331108532739E-2</v>
      </c>
      <c r="Q39" s="2">
        <f t="shared" si="5"/>
        <v>11140.95</v>
      </c>
    </row>
    <row r="40" spans="1:17">
      <c r="A40" s="46" t="s">
        <v>104</v>
      </c>
      <c r="B40" s="47" t="s">
        <v>196</v>
      </c>
      <c r="C40" s="46">
        <v>26178.49</v>
      </c>
      <c r="D40" s="46" t="s">
        <v>46</v>
      </c>
      <c r="E40">
        <f t="shared" si="0"/>
        <v>-200.48101812467954</v>
      </c>
      <c r="F40">
        <f t="shared" si="1"/>
        <v>-200.5</v>
      </c>
      <c r="G40">
        <f t="shared" si="2"/>
        <v>0.72965000000476721</v>
      </c>
      <c r="H40">
        <f t="shared" si="3"/>
        <v>0.72965000000476721</v>
      </c>
      <c r="O40">
        <f t="shared" ca="1" si="4"/>
        <v>-6.7632732714746818E-2</v>
      </c>
      <c r="Q40" s="2">
        <f t="shared" si="5"/>
        <v>11159.990000000002</v>
      </c>
    </row>
    <row r="41" spans="1:17">
      <c r="A41" s="46" t="s">
        <v>104</v>
      </c>
      <c r="B41" s="47" t="s">
        <v>196</v>
      </c>
      <c r="C41" s="46">
        <v>26222.48</v>
      </c>
      <c r="D41" s="46" t="s">
        <v>46</v>
      </c>
      <c r="E41">
        <f t="shared" si="0"/>
        <v>-199.33661643162066</v>
      </c>
      <c r="F41">
        <f t="shared" si="1"/>
        <v>-199.5</v>
      </c>
      <c r="G41">
        <f t="shared" si="2"/>
        <v>6.280350000004546</v>
      </c>
      <c r="H41">
        <f t="shared" si="3"/>
        <v>6.280350000004546</v>
      </c>
      <c r="O41">
        <f t="shared" ca="1" si="4"/>
        <v>-6.7361535927174976E-2</v>
      </c>
      <c r="Q41" s="2">
        <f t="shared" si="5"/>
        <v>11203.98</v>
      </c>
    </row>
    <row r="42" spans="1:17">
      <c r="A42" s="46" t="s">
        <v>104</v>
      </c>
      <c r="B42" s="47" t="s">
        <v>45</v>
      </c>
      <c r="C42" s="46">
        <v>26352.240000000002</v>
      </c>
      <c r="D42" s="46" t="s">
        <v>46</v>
      </c>
      <c r="E42">
        <f t="shared" si="0"/>
        <v>-195.96090459503671</v>
      </c>
      <c r="F42">
        <f t="shared" si="1"/>
        <v>-196</v>
      </c>
      <c r="G42">
        <f t="shared" si="2"/>
        <v>1.5028000000056636</v>
      </c>
      <c r="H42">
        <f t="shared" si="3"/>
        <v>1.5028000000056636</v>
      </c>
      <c r="O42">
        <f t="shared" ca="1" si="4"/>
        <v>-6.6412347170673555E-2</v>
      </c>
      <c r="Q42" s="2">
        <f t="shared" si="5"/>
        <v>11333.740000000002</v>
      </c>
    </row>
    <row r="43" spans="1:17">
      <c r="A43" s="46" t="s">
        <v>104</v>
      </c>
      <c r="B43" s="47" t="s">
        <v>45</v>
      </c>
      <c r="C43" s="46">
        <v>26426.639999999999</v>
      </c>
      <c r="D43" s="46" t="s">
        <v>46</v>
      </c>
      <c r="E43">
        <f t="shared" si="0"/>
        <v>-194.02538547788322</v>
      </c>
      <c r="F43">
        <f t="shared" si="1"/>
        <v>-194</v>
      </c>
      <c r="G43">
        <f t="shared" si="2"/>
        <v>-0.975799999996525</v>
      </c>
      <c r="H43">
        <f t="shared" si="3"/>
        <v>-0.975799999996525</v>
      </c>
      <c r="O43">
        <f t="shared" ca="1" si="4"/>
        <v>-6.5869953595529884E-2</v>
      </c>
      <c r="Q43" s="2">
        <f t="shared" si="5"/>
        <v>11408.14</v>
      </c>
    </row>
    <row r="44" spans="1:17">
      <c r="A44" s="46" t="s">
        <v>138</v>
      </c>
      <c r="B44" s="47" t="s">
        <v>45</v>
      </c>
      <c r="C44" s="46">
        <v>28040.92</v>
      </c>
      <c r="D44" s="46" t="s">
        <v>46</v>
      </c>
      <c r="E44">
        <f t="shared" si="0"/>
        <v>-152.02982364403093</v>
      </c>
      <c r="F44">
        <f t="shared" si="1"/>
        <v>-152</v>
      </c>
      <c r="G44">
        <f t="shared" si="2"/>
        <v>-1.1463999999978114</v>
      </c>
      <c r="H44">
        <f t="shared" si="3"/>
        <v>-1.1463999999978114</v>
      </c>
      <c r="O44">
        <f t="shared" ca="1" si="4"/>
        <v>-5.4479688517512739E-2</v>
      </c>
      <c r="Q44" s="2">
        <f t="shared" si="5"/>
        <v>13022.419999999998</v>
      </c>
    </row>
    <row r="45" spans="1:17">
      <c r="A45" s="46" t="s">
        <v>71</v>
      </c>
      <c r="B45" s="47" t="s">
        <v>45</v>
      </c>
      <c r="C45" s="46">
        <v>28081.26</v>
      </c>
      <c r="D45" s="46" t="s">
        <v>46</v>
      </c>
      <c r="E45">
        <f t="shared" si="0"/>
        <v>-150.98037685389687</v>
      </c>
      <c r="F45">
        <f t="shared" si="1"/>
        <v>-151</v>
      </c>
      <c r="G45">
        <f t="shared" si="2"/>
        <v>0.75430000000415021</v>
      </c>
      <c r="H45">
        <f t="shared" si="3"/>
        <v>0.75430000000415021</v>
      </c>
      <c r="O45">
        <f t="shared" ca="1" si="4"/>
        <v>-5.4208491729940897E-2</v>
      </c>
      <c r="Q45" s="2">
        <f t="shared" si="5"/>
        <v>13062.759999999998</v>
      </c>
    </row>
    <row r="46" spans="1:17">
      <c r="A46" s="46" t="s">
        <v>146</v>
      </c>
      <c r="B46" s="47" t="s">
        <v>45</v>
      </c>
      <c r="C46" s="46">
        <v>28426.31</v>
      </c>
      <c r="D46" s="46" t="s">
        <v>46</v>
      </c>
      <c r="E46">
        <f t="shared" si="0"/>
        <v>-142.00388664725932</v>
      </c>
      <c r="F46">
        <f t="shared" si="1"/>
        <v>-142</v>
      </c>
      <c r="G46">
        <f t="shared" si="2"/>
        <v>-0.14939999999478459</v>
      </c>
      <c r="H46">
        <f t="shared" si="3"/>
        <v>-0.14939999999478459</v>
      </c>
      <c r="O46">
        <f t="shared" ca="1" si="4"/>
        <v>-5.1767720641794371E-2</v>
      </c>
      <c r="Q46" s="2">
        <f t="shared" si="5"/>
        <v>13407.810000000001</v>
      </c>
    </row>
    <row r="47" spans="1:17">
      <c r="A47" s="46" t="s">
        <v>71</v>
      </c>
      <c r="B47" s="47" t="s">
        <v>45</v>
      </c>
      <c r="C47" s="46">
        <v>28426.37</v>
      </c>
      <c r="D47" s="46" t="s">
        <v>46</v>
      </c>
      <c r="E47">
        <f t="shared" si="0"/>
        <v>-142.00232574474555</v>
      </c>
      <c r="F47">
        <f t="shared" si="1"/>
        <v>-142</v>
      </c>
      <c r="G47">
        <f t="shared" si="2"/>
        <v>-8.93999999971129E-2</v>
      </c>
      <c r="H47">
        <f t="shared" si="3"/>
        <v>-8.93999999971129E-2</v>
      </c>
      <c r="O47">
        <f t="shared" ca="1" si="4"/>
        <v>-5.1767720641794371E-2</v>
      </c>
      <c r="Q47" s="2">
        <f t="shared" si="5"/>
        <v>13407.869999999999</v>
      </c>
    </row>
    <row r="48" spans="1:17">
      <c r="A48" s="46" t="s">
        <v>71</v>
      </c>
      <c r="B48" s="47" t="s">
        <v>45</v>
      </c>
      <c r="C48" s="46">
        <v>28427.34</v>
      </c>
      <c r="D48" s="46" t="s">
        <v>46</v>
      </c>
      <c r="E48">
        <f t="shared" si="0"/>
        <v>-141.97709115410521</v>
      </c>
      <c r="F48">
        <f t="shared" si="1"/>
        <v>-142</v>
      </c>
      <c r="G48">
        <f t="shared" si="2"/>
        <v>0.88060000000405125</v>
      </c>
      <c r="H48">
        <f t="shared" si="3"/>
        <v>0.88060000000405125</v>
      </c>
      <c r="O48">
        <f t="shared" ca="1" si="4"/>
        <v>-5.1767720641794371E-2</v>
      </c>
      <c r="Q48" s="2">
        <f t="shared" si="5"/>
        <v>13408.84</v>
      </c>
    </row>
    <row r="49" spans="1:29">
      <c r="A49" s="46" t="s">
        <v>158</v>
      </c>
      <c r="B49" s="47" t="s">
        <v>45</v>
      </c>
      <c r="C49" s="46">
        <v>31616.959999999999</v>
      </c>
      <c r="D49" s="46" t="s">
        <v>46</v>
      </c>
      <c r="E49">
        <f t="shared" si="0"/>
        <v>-58.998993217878507</v>
      </c>
      <c r="F49">
        <f t="shared" si="1"/>
        <v>-59</v>
      </c>
      <c r="G49">
        <f t="shared" si="2"/>
        <v>3.8700000004610047E-2</v>
      </c>
      <c r="H49">
        <f t="shared" si="3"/>
        <v>3.8700000004610047E-2</v>
      </c>
      <c r="O49">
        <f t="shared" ca="1" si="4"/>
        <v>-2.9258387273331913E-2</v>
      </c>
      <c r="Q49" s="2">
        <f t="shared" si="5"/>
        <v>16598.46</v>
      </c>
    </row>
    <row r="50" spans="1:29">
      <c r="A50" s="46" t="s">
        <v>162</v>
      </c>
      <c r="B50" s="47" t="s">
        <v>45</v>
      </c>
      <c r="C50" s="46">
        <v>31655.7</v>
      </c>
      <c r="D50" s="46" t="s">
        <v>46</v>
      </c>
      <c r="E50">
        <f t="shared" si="0"/>
        <v>-57.991170494779965</v>
      </c>
      <c r="F50">
        <f t="shared" si="1"/>
        <v>-58</v>
      </c>
      <c r="G50">
        <f t="shared" si="2"/>
        <v>0.33940000000438886</v>
      </c>
      <c r="H50">
        <f t="shared" si="3"/>
        <v>0.33940000000438886</v>
      </c>
      <c r="O50">
        <f t="shared" ca="1" si="4"/>
        <v>-2.8987190485760077E-2</v>
      </c>
      <c r="Q50" s="2">
        <f t="shared" si="5"/>
        <v>16637.2</v>
      </c>
    </row>
    <row r="51" spans="1:29">
      <c r="A51" s="46" t="s">
        <v>167</v>
      </c>
      <c r="B51" s="47" t="s">
        <v>45</v>
      </c>
      <c r="C51" s="46">
        <v>33500.660000000003</v>
      </c>
      <c r="D51" s="46" t="s">
        <v>46</v>
      </c>
      <c r="E51">
        <f t="shared" si="0"/>
        <v>-9.9944587960757083</v>
      </c>
      <c r="F51">
        <f t="shared" si="1"/>
        <v>-10</v>
      </c>
      <c r="G51">
        <f t="shared" si="2"/>
        <v>0.21300000000337604</v>
      </c>
      <c r="H51">
        <f t="shared" si="3"/>
        <v>0.21300000000337604</v>
      </c>
      <c r="O51">
        <f t="shared" ca="1" si="4"/>
        <v>-1.5969744682311909E-2</v>
      </c>
      <c r="Q51" s="2">
        <f t="shared" si="5"/>
        <v>18482.160000000003</v>
      </c>
    </row>
    <row r="52" spans="1:29" ht="12.75" customHeight="1">
      <c r="A52" t="s">
        <v>29</v>
      </c>
      <c r="C52" s="11">
        <v>33500.959999999999</v>
      </c>
      <c r="D52" s="12" t="s">
        <v>33</v>
      </c>
      <c r="E52">
        <f t="shared" si="0"/>
        <v>-9.9866542835066543</v>
      </c>
      <c r="F52">
        <f t="shared" si="1"/>
        <v>-10</v>
      </c>
      <c r="I52" s="9">
        <v>0.51299999999901047</v>
      </c>
      <c r="O52">
        <f t="shared" ca="1" si="4"/>
        <v>-1.5969744682311909E-2</v>
      </c>
      <c r="Q52" s="2">
        <f t="shared" si="5"/>
        <v>18482.46</v>
      </c>
      <c r="AA52" t="s">
        <v>28</v>
      </c>
      <c r="AC52" t="s">
        <v>30</v>
      </c>
    </row>
    <row r="53" spans="1:29" ht="12.75" customHeight="1">
      <c r="A53" t="s">
        <v>29</v>
      </c>
      <c r="C53" s="11">
        <v>33538.980000000003</v>
      </c>
      <c r="D53" s="10"/>
      <c r="E53">
        <f t="shared" si="0"/>
        <v>-8.9975623905740552</v>
      </c>
      <c r="F53">
        <f t="shared" si="1"/>
        <v>-9</v>
      </c>
      <c r="G53">
        <f t="shared" ref="G53:G60" si="6">+C53-(C$7+F53*C$8)</f>
        <v>9.3700000004901085E-2</v>
      </c>
      <c r="I53">
        <f>+G53</f>
        <v>9.3700000004901085E-2</v>
      </c>
      <c r="O53">
        <f t="shared" ca="1" si="4"/>
        <v>-1.5698547894740074E-2</v>
      </c>
      <c r="Q53" s="2">
        <f t="shared" si="5"/>
        <v>18520.480000000003</v>
      </c>
      <c r="AA53" t="s">
        <v>28</v>
      </c>
      <c r="AC53" t="s">
        <v>30</v>
      </c>
    </row>
    <row r="54" spans="1:29" ht="12.75" customHeight="1">
      <c r="A54" t="s">
        <v>29</v>
      </c>
      <c r="C54" s="11">
        <v>33769.54</v>
      </c>
      <c r="D54" s="10"/>
      <c r="E54">
        <f t="shared" si="0"/>
        <v>-2.9995343307499258</v>
      </c>
      <c r="F54">
        <f t="shared" si="1"/>
        <v>-3</v>
      </c>
      <c r="G54">
        <f t="shared" si="6"/>
        <v>1.7900000006193295E-2</v>
      </c>
      <c r="I54">
        <f>+G54</f>
        <v>1.7900000006193295E-2</v>
      </c>
      <c r="O54">
        <f t="shared" ca="1" si="4"/>
        <v>-1.4071367169309051E-2</v>
      </c>
      <c r="Q54" s="2">
        <f t="shared" si="5"/>
        <v>18751.04</v>
      </c>
      <c r="AA54" t="s">
        <v>28</v>
      </c>
      <c r="AC54" t="s">
        <v>30</v>
      </c>
    </row>
    <row r="55" spans="1:29" ht="12.75" customHeight="1">
      <c r="A55" t="s">
        <v>29</v>
      </c>
      <c r="C55" s="11">
        <v>33884.839999999997</v>
      </c>
      <c r="D55" s="10"/>
      <c r="E55">
        <f t="shared" si="0"/>
        <v>0</v>
      </c>
      <c r="F55">
        <f t="shared" si="1"/>
        <v>0</v>
      </c>
      <c r="G55">
        <f t="shared" si="6"/>
        <v>0</v>
      </c>
      <c r="I55">
        <f>+G55</f>
        <v>0</v>
      </c>
      <c r="O55">
        <f t="shared" ca="1" si="4"/>
        <v>-1.3257776806593541E-2</v>
      </c>
      <c r="Q55" s="2">
        <f t="shared" si="5"/>
        <v>18866.339999999997</v>
      </c>
      <c r="AA55" t="s">
        <v>31</v>
      </c>
      <c r="AC55" t="s">
        <v>30</v>
      </c>
    </row>
    <row r="56" spans="1:29" ht="12.75" customHeight="1">
      <c r="A56" t="s">
        <v>12</v>
      </c>
      <c r="C56" s="10">
        <v>33884.839999999997</v>
      </c>
      <c r="D56" s="10" t="s">
        <v>14</v>
      </c>
      <c r="E56">
        <f t="shared" si="0"/>
        <v>0</v>
      </c>
      <c r="F56">
        <f t="shared" si="1"/>
        <v>0</v>
      </c>
      <c r="G56">
        <f t="shared" si="6"/>
        <v>0</v>
      </c>
      <c r="H56">
        <f>+G56</f>
        <v>0</v>
      </c>
      <c r="O56">
        <f t="shared" ca="1" si="4"/>
        <v>-1.3257776806593541E-2</v>
      </c>
      <c r="Q56" s="2">
        <f t="shared" si="5"/>
        <v>18866.339999999997</v>
      </c>
    </row>
    <row r="57" spans="1:29" ht="12.75" customHeight="1">
      <c r="A57" t="s">
        <v>29</v>
      </c>
      <c r="C57" s="11">
        <v>36729.35</v>
      </c>
      <c r="D57" s="10"/>
      <c r="E57">
        <f t="shared" si="0"/>
        <v>74.000046827075465</v>
      </c>
      <c r="F57">
        <f t="shared" si="1"/>
        <v>74</v>
      </c>
      <c r="G57">
        <f t="shared" si="6"/>
        <v>1.8000000054598786E-3</v>
      </c>
      <c r="I57">
        <f>+G57</f>
        <v>1.8000000054598786E-3</v>
      </c>
      <c r="O57">
        <f t="shared" ca="1" si="4"/>
        <v>6.810785473722384E-3</v>
      </c>
      <c r="Q57" s="2">
        <f t="shared" si="5"/>
        <v>21710.85</v>
      </c>
      <c r="AA57" t="s">
        <v>31</v>
      </c>
      <c r="AC57" t="s">
        <v>30</v>
      </c>
    </row>
    <row r="58" spans="1:29" ht="12.75" customHeight="1">
      <c r="A58" t="s">
        <v>32</v>
      </c>
      <c r="C58" s="11">
        <v>44993.821000000004</v>
      </c>
      <c r="D58" s="10"/>
      <c r="E58">
        <f t="shared" si="0"/>
        <v>289.00060615047636</v>
      </c>
      <c r="F58">
        <f t="shared" si="1"/>
        <v>289</v>
      </c>
      <c r="G58">
        <f t="shared" si="6"/>
        <v>2.3300000008021016E-2</v>
      </c>
      <c r="I58">
        <f>+G58</f>
        <v>2.3300000008021016E-2</v>
      </c>
      <c r="O58">
        <f t="shared" ca="1" si="4"/>
        <v>6.5118094801667303E-2</v>
      </c>
      <c r="Q58" s="2">
        <f t="shared" si="5"/>
        <v>29975.321000000004</v>
      </c>
      <c r="AA58" t="s">
        <v>28</v>
      </c>
      <c r="AC58" t="s">
        <v>30</v>
      </c>
    </row>
    <row r="59" spans="1:29">
      <c r="A59" s="46" t="s">
        <v>190</v>
      </c>
      <c r="B59" s="47" t="s">
        <v>45</v>
      </c>
      <c r="C59" s="46">
        <v>47761.542999999998</v>
      </c>
      <c r="D59" s="46" t="s">
        <v>46</v>
      </c>
      <c r="E59">
        <f t="shared" si="0"/>
        <v>361.00300994034751</v>
      </c>
      <c r="F59">
        <f t="shared" si="1"/>
        <v>361</v>
      </c>
      <c r="G59">
        <f t="shared" si="6"/>
        <v>0.11570000000210712</v>
      </c>
      <c r="I59">
        <f>+G59</f>
        <v>0.11570000000210712</v>
      </c>
      <c r="O59">
        <f t="shared" ca="1" si="4"/>
        <v>8.4644263506839554E-2</v>
      </c>
      <c r="Q59" s="2">
        <f t="shared" si="5"/>
        <v>32743.042999999998</v>
      </c>
    </row>
    <row r="60" spans="1:29">
      <c r="A60" s="30" t="s">
        <v>44</v>
      </c>
      <c r="B60" s="31" t="s">
        <v>45</v>
      </c>
      <c r="C60" s="30">
        <v>52912.417000000001</v>
      </c>
      <c r="D60" s="30" t="s">
        <v>46</v>
      </c>
      <c r="E60">
        <f t="shared" si="0"/>
        <v>495.00321285767438</v>
      </c>
      <c r="F60">
        <f t="shared" si="1"/>
        <v>495</v>
      </c>
      <c r="G60">
        <f t="shared" si="6"/>
        <v>0.1235000000015134</v>
      </c>
      <c r="I60">
        <f>+G60</f>
        <v>0.1235000000015134</v>
      </c>
      <c r="O60">
        <f t="shared" ca="1" si="4"/>
        <v>0.12098463304146567</v>
      </c>
      <c r="Q60" s="2">
        <f t="shared" si="5"/>
        <v>37893.917000000001</v>
      </c>
    </row>
    <row r="61" spans="1:29">
      <c r="C61" s="10"/>
      <c r="D61" s="10"/>
    </row>
    <row r="62" spans="1:29">
      <c r="C62" s="10"/>
      <c r="D62" s="10"/>
    </row>
    <row r="63" spans="1:29">
      <c r="C63" s="10"/>
      <c r="D63" s="10"/>
    </row>
    <row r="64" spans="1:29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topLeftCell="A2" workbookViewId="0">
      <selection activeCell="A17" sqref="A17:D48"/>
    </sheetView>
  </sheetViews>
  <sheetFormatPr defaultRowHeight="12.75"/>
  <cols>
    <col min="1" max="1" width="19.7109375" style="10" customWidth="1"/>
    <col min="2" max="2" width="4.42578125" style="14" customWidth="1"/>
    <col min="3" max="3" width="12.7109375" style="1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3" t="s">
        <v>48</v>
      </c>
      <c r="I1" s="34" t="s">
        <v>49</v>
      </c>
      <c r="J1" s="35" t="s">
        <v>50</v>
      </c>
    </row>
    <row r="2" spans="1:16">
      <c r="I2" s="36" t="s">
        <v>51</v>
      </c>
      <c r="J2" s="37" t="s">
        <v>52</v>
      </c>
    </row>
    <row r="3" spans="1:16">
      <c r="A3" s="38" t="s">
        <v>53</v>
      </c>
      <c r="I3" s="36" t="s">
        <v>54</v>
      </c>
      <c r="J3" s="37" t="s">
        <v>55</v>
      </c>
    </row>
    <row r="4" spans="1:16">
      <c r="I4" s="36" t="s">
        <v>56</v>
      </c>
      <c r="J4" s="37" t="s">
        <v>55</v>
      </c>
    </row>
    <row r="5" spans="1:16" ht="13.5" thickBot="1">
      <c r="I5" s="39" t="s">
        <v>57</v>
      </c>
      <c r="J5" s="40" t="s">
        <v>46</v>
      </c>
    </row>
    <row r="10" spans="1:16" ht="13.5" thickBot="1"/>
    <row r="11" spans="1:16" ht="12.75" customHeight="1" thickBot="1">
      <c r="A11" s="10" t="str">
        <f t="shared" ref="A11:A48" si="0">P11</f>
        <v> PZ 8.302 </v>
      </c>
      <c r="B11" s="17" t="str">
        <f t="shared" ref="B11:B48" si="1">IF(H11=INT(H11),"I","II")</f>
        <v>I</v>
      </c>
      <c r="C11" s="10">
        <f t="shared" ref="C11:C48" si="2">1*G11</f>
        <v>33538.980000000003</v>
      </c>
      <c r="D11" s="14" t="str">
        <f t="shared" ref="D11:D48" si="3">VLOOKUP(F11,I$1:J$5,2,FALSE)</f>
        <v>vis</v>
      </c>
      <c r="E11" s="41">
        <f>VLOOKUP(C11,Active!C$21:E$973,3,FALSE)</f>
        <v>-8.9975623905740552</v>
      </c>
      <c r="F11" s="17" t="s">
        <v>57</v>
      </c>
      <c r="G11" s="14" t="str">
        <f t="shared" ref="G11:G48" si="4">MID(I11,3,LEN(I11)-3)</f>
        <v>33538.98</v>
      </c>
      <c r="H11" s="10">
        <f t="shared" ref="H11:H48" si="5">1*K11</f>
        <v>-9</v>
      </c>
      <c r="I11" s="42" t="s">
        <v>168</v>
      </c>
      <c r="J11" s="43" t="s">
        <v>169</v>
      </c>
      <c r="K11" s="42">
        <v>-9</v>
      </c>
      <c r="L11" s="42" t="s">
        <v>103</v>
      </c>
      <c r="M11" s="43" t="s">
        <v>62</v>
      </c>
      <c r="N11" s="43"/>
      <c r="O11" s="44" t="s">
        <v>166</v>
      </c>
      <c r="P11" s="44" t="s">
        <v>167</v>
      </c>
    </row>
    <row r="12" spans="1:16" ht="12.75" customHeight="1" thickBot="1">
      <c r="A12" s="10" t="str">
        <f t="shared" si="0"/>
        <v> PZ 8.302 </v>
      </c>
      <c r="B12" s="17" t="str">
        <f t="shared" si="1"/>
        <v>I</v>
      </c>
      <c r="C12" s="10">
        <f t="shared" si="2"/>
        <v>33769.54</v>
      </c>
      <c r="D12" s="14" t="str">
        <f t="shared" si="3"/>
        <v>vis</v>
      </c>
      <c r="E12" s="41">
        <f>VLOOKUP(C12,Active!C$21:E$973,3,FALSE)</f>
        <v>-2.9995343307499258</v>
      </c>
      <c r="F12" s="17" t="s">
        <v>57</v>
      </c>
      <c r="G12" s="14" t="str">
        <f t="shared" si="4"/>
        <v>33769.54</v>
      </c>
      <c r="H12" s="10">
        <f t="shared" si="5"/>
        <v>-3</v>
      </c>
      <c r="I12" s="42" t="s">
        <v>170</v>
      </c>
      <c r="J12" s="43" t="s">
        <v>171</v>
      </c>
      <c r="K12" s="42">
        <v>-3</v>
      </c>
      <c r="L12" s="42" t="s">
        <v>172</v>
      </c>
      <c r="M12" s="43" t="s">
        <v>62</v>
      </c>
      <c r="N12" s="43"/>
      <c r="O12" s="44" t="s">
        <v>166</v>
      </c>
      <c r="P12" s="44" t="s">
        <v>167</v>
      </c>
    </row>
    <row r="13" spans="1:16" ht="12.75" customHeight="1" thickBot="1">
      <c r="A13" s="10" t="str">
        <f t="shared" si="0"/>
        <v> APJ 139.144 </v>
      </c>
      <c r="B13" s="17" t="str">
        <f t="shared" si="1"/>
        <v>I</v>
      </c>
      <c r="C13" s="10">
        <f t="shared" si="2"/>
        <v>33884.839999999997</v>
      </c>
      <c r="D13" s="14" t="str">
        <f t="shared" si="3"/>
        <v>vis</v>
      </c>
      <c r="E13" s="41">
        <f>VLOOKUP(C13,Active!C$21:E$973,3,FALSE)</f>
        <v>0</v>
      </c>
      <c r="F13" s="17" t="s">
        <v>57</v>
      </c>
      <c r="G13" s="14" t="str">
        <f t="shared" si="4"/>
        <v>33884.84</v>
      </c>
      <c r="H13" s="10">
        <f t="shared" si="5"/>
        <v>0</v>
      </c>
      <c r="I13" s="42" t="s">
        <v>173</v>
      </c>
      <c r="J13" s="43" t="s">
        <v>174</v>
      </c>
      <c r="K13" s="42">
        <v>0</v>
      </c>
      <c r="L13" s="42" t="s">
        <v>175</v>
      </c>
      <c r="M13" s="43" t="s">
        <v>176</v>
      </c>
      <c r="N13" s="43" t="s">
        <v>177</v>
      </c>
      <c r="O13" s="44" t="s">
        <v>178</v>
      </c>
      <c r="P13" s="44" t="s">
        <v>179</v>
      </c>
    </row>
    <row r="14" spans="1:16" ht="12.75" customHeight="1" thickBot="1">
      <c r="A14" s="10" t="str">
        <f t="shared" si="0"/>
        <v> APJ 139.144 </v>
      </c>
      <c r="B14" s="17" t="str">
        <f t="shared" si="1"/>
        <v>I</v>
      </c>
      <c r="C14" s="10">
        <f t="shared" si="2"/>
        <v>36729.35</v>
      </c>
      <c r="D14" s="14" t="str">
        <f t="shared" si="3"/>
        <v>vis</v>
      </c>
      <c r="E14" s="41">
        <f>VLOOKUP(C14,Active!C$21:E$973,3,FALSE)</f>
        <v>74.000046827075465</v>
      </c>
      <c r="F14" s="17" t="s">
        <v>57</v>
      </c>
      <c r="G14" s="14" t="str">
        <f t="shared" si="4"/>
        <v>36729.35</v>
      </c>
      <c r="H14" s="10">
        <f t="shared" si="5"/>
        <v>74</v>
      </c>
      <c r="I14" s="42" t="s">
        <v>180</v>
      </c>
      <c r="J14" s="43" t="s">
        <v>181</v>
      </c>
      <c r="K14" s="42">
        <v>74</v>
      </c>
      <c r="L14" s="42" t="s">
        <v>175</v>
      </c>
      <c r="M14" s="43" t="s">
        <v>176</v>
      </c>
      <c r="N14" s="43" t="s">
        <v>177</v>
      </c>
      <c r="O14" s="44" t="s">
        <v>178</v>
      </c>
      <c r="P14" s="44" t="s">
        <v>179</v>
      </c>
    </row>
    <row r="15" spans="1:16" ht="12.75" customHeight="1" thickBot="1">
      <c r="A15" s="10" t="str">
        <f t="shared" si="0"/>
        <v> VSSC 60.20 </v>
      </c>
      <c r="B15" s="17" t="str">
        <f t="shared" si="1"/>
        <v>I</v>
      </c>
      <c r="C15" s="10">
        <f t="shared" si="2"/>
        <v>44993.821000000004</v>
      </c>
      <c r="D15" s="14" t="str">
        <f t="shared" si="3"/>
        <v>vis</v>
      </c>
      <c r="E15" s="41">
        <f>VLOOKUP(C15,Active!C$21:E$973,3,FALSE)</f>
        <v>289.00060615047636</v>
      </c>
      <c r="F15" s="17" t="s">
        <v>57</v>
      </c>
      <c r="G15" s="14" t="str">
        <f t="shared" si="4"/>
        <v>44993.821</v>
      </c>
      <c r="H15" s="10">
        <f t="shared" si="5"/>
        <v>289</v>
      </c>
      <c r="I15" s="42" t="s">
        <v>182</v>
      </c>
      <c r="J15" s="43" t="s">
        <v>183</v>
      </c>
      <c r="K15" s="42">
        <v>289</v>
      </c>
      <c r="L15" s="42" t="s">
        <v>184</v>
      </c>
      <c r="M15" s="43" t="s">
        <v>156</v>
      </c>
      <c r="N15" s="43"/>
      <c r="O15" s="44" t="s">
        <v>185</v>
      </c>
      <c r="P15" s="44" t="s">
        <v>186</v>
      </c>
    </row>
    <row r="16" spans="1:16" ht="12.75" customHeight="1" thickBot="1">
      <c r="A16" s="10" t="str">
        <f t="shared" si="0"/>
        <v>BAVM 174 </v>
      </c>
      <c r="B16" s="17" t="str">
        <f t="shared" si="1"/>
        <v>I</v>
      </c>
      <c r="C16" s="10">
        <f t="shared" si="2"/>
        <v>52912.417000000001</v>
      </c>
      <c r="D16" s="14" t="str">
        <f t="shared" si="3"/>
        <v>vis</v>
      </c>
      <c r="E16" s="41">
        <f>VLOOKUP(C16,Active!C$21:E$973,3,FALSE)</f>
        <v>495.00321285767438</v>
      </c>
      <c r="F16" s="17" t="s">
        <v>57</v>
      </c>
      <c r="G16" s="14" t="str">
        <f t="shared" si="4"/>
        <v>52912.417</v>
      </c>
      <c r="H16" s="10">
        <f t="shared" si="5"/>
        <v>495</v>
      </c>
      <c r="I16" s="42" t="s">
        <v>191</v>
      </c>
      <c r="J16" s="43" t="s">
        <v>192</v>
      </c>
      <c r="K16" s="42">
        <v>495</v>
      </c>
      <c r="L16" s="42" t="s">
        <v>193</v>
      </c>
      <c r="M16" s="43" t="s">
        <v>156</v>
      </c>
      <c r="N16" s="43"/>
      <c r="O16" s="44" t="s">
        <v>194</v>
      </c>
      <c r="P16" s="45" t="s">
        <v>195</v>
      </c>
    </row>
    <row r="17" spans="1:16" ht="12.75" customHeight="1" thickBot="1">
      <c r="A17" s="10" t="str">
        <f t="shared" si="0"/>
        <v> PZ 4.314 </v>
      </c>
      <c r="B17" s="17" t="str">
        <f t="shared" si="1"/>
        <v>II</v>
      </c>
      <c r="C17" s="10">
        <f t="shared" si="2"/>
        <v>14926.28</v>
      </c>
      <c r="D17" s="14" t="str">
        <f t="shared" si="3"/>
        <v>vis</v>
      </c>
      <c r="E17" s="41">
        <f>VLOOKUP(C17,Active!C$21:E$973,3,FALSE)</f>
        <v>-493.20773271105344</v>
      </c>
      <c r="F17" s="17" t="s">
        <v>57</v>
      </c>
      <c r="G17" s="14" t="str">
        <f t="shared" si="4"/>
        <v>14926.28</v>
      </c>
      <c r="H17" s="10">
        <f t="shared" si="5"/>
        <v>-493.5</v>
      </c>
      <c r="I17" s="42" t="s">
        <v>59</v>
      </c>
      <c r="J17" s="43" t="s">
        <v>60</v>
      </c>
      <c r="K17" s="42">
        <v>-493.5</v>
      </c>
      <c r="L17" s="42" t="s">
        <v>61</v>
      </c>
      <c r="M17" s="43" t="s">
        <v>62</v>
      </c>
      <c r="N17" s="43"/>
      <c r="O17" s="44" t="s">
        <v>63</v>
      </c>
      <c r="P17" s="44" t="s">
        <v>64</v>
      </c>
    </row>
    <row r="18" spans="1:16" ht="12.75" customHeight="1" thickBot="1">
      <c r="A18" s="10" t="str">
        <f t="shared" si="0"/>
        <v> PZ 4.314 </v>
      </c>
      <c r="B18" s="17" t="str">
        <f t="shared" si="1"/>
        <v>I</v>
      </c>
      <c r="C18" s="10">
        <f t="shared" si="2"/>
        <v>15163.4</v>
      </c>
      <c r="D18" s="14" t="str">
        <f t="shared" si="3"/>
        <v>vis</v>
      </c>
      <c r="E18" s="41">
        <f>VLOOKUP(C18,Active!C$21:E$973,3,FALSE)</f>
        <v>-487.03904597638336</v>
      </c>
      <c r="F18" s="17" t="s">
        <v>57</v>
      </c>
      <c r="G18" s="14" t="str">
        <f t="shared" si="4"/>
        <v>15163.40</v>
      </c>
      <c r="H18" s="10">
        <f t="shared" si="5"/>
        <v>-487</v>
      </c>
      <c r="I18" s="42" t="s">
        <v>65</v>
      </c>
      <c r="J18" s="43" t="s">
        <v>66</v>
      </c>
      <c r="K18" s="42">
        <v>-487</v>
      </c>
      <c r="L18" s="42" t="s">
        <v>67</v>
      </c>
      <c r="M18" s="43" t="s">
        <v>62</v>
      </c>
      <c r="N18" s="43"/>
      <c r="O18" s="44" t="s">
        <v>63</v>
      </c>
      <c r="P18" s="44" t="s">
        <v>64</v>
      </c>
    </row>
    <row r="19" spans="1:16" ht="12.75" customHeight="1" thickBot="1">
      <c r="A19" s="10" t="str">
        <f t="shared" si="0"/>
        <v> PZ 5.211 </v>
      </c>
      <c r="B19" s="17" t="str">
        <f t="shared" si="1"/>
        <v>I</v>
      </c>
      <c r="C19" s="10">
        <f t="shared" si="2"/>
        <v>15165.4</v>
      </c>
      <c r="D19" s="14" t="str">
        <f t="shared" si="3"/>
        <v>vis</v>
      </c>
      <c r="E19" s="41">
        <f>VLOOKUP(C19,Active!C$21:E$973,3,FALSE)</f>
        <v>-486.98701589258894</v>
      </c>
      <c r="F19" s="17" t="s">
        <v>57</v>
      </c>
      <c r="G19" s="14" t="str">
        <f t="shared" si="4"/>
        <v>15165.4</v>
      </c>
      <c r="H19" s="10">
        <f t="shared" si="5"/>
        <v>-487</v>
      </c>
      <c r="I19" s="42" t="s">
        <v>68</v>
      </c>
      <c r="J19" s="43" t="s">
        <v>69</v>
      </c>
      <c r="K19" s="42">
        <v>-487</v>
      </c>
      <c r="L19" s="42" t="s">
        <v>70</v>
      </c>
      <c r="M19" s="43" t="s">
        <v>62</v>
      </c>
      <c r="N19" s="43"/>
      <c r="O19" s="44" t="s">
        <v>63</v>
      </c>
      <c r="P19" s="44" t="s">
        <v>71</v>
      </c>
    </row>
    <row r="20" spans="1:16" ht="12.75" customHeight="1" thickBot="1">
      <c r="A20" s="10" t="str">
        <f t="shared" si="0"/>
        <v> PZ 4.314 </v>
      </c>
      <c r="B20" s="17" t="str">
        <f t="shared" si="1"/>
        <v>I</v>
      </c>
      <c r="C20" s="10">
        <f t="shared" si="2"/>
        <v>15251.34</v>
      </c>
      <c r="D20" s="14" t="str">
        <f t="shared" si="3"/>
        <v>vis</v>
      </c>
      <c r="E20" s="41">
        <f>VLOOKUP(C20,Active!C$21:E$973,3,FALSE)</f>
        <v>-484.75128319194147</v>
      </c>
      <c r="F20" s="17" t="s">
        <v>57</v>
      </c>
      <c r="G20" s="14" t="str">
        <f t="shared" si="4"/>
        <v>15251.34</v>
      </c>
      <c r="H20" s="10">
        <f t="shared" si="5"/>
        <v>-485</v>
      </c>
      <c r="I20" s="42" t="s">
        <v>72</v>
      </c>
      <c r="J20" s="43" t="s">
        <v>73</v>
      </c>
      <c r="K20" s="42">
        <v>-485</v>
      </c>
      <c r="L20" s="42" t="s">
        <v>74</v>
      </c>
      <c r="M20" s="43" t="s">
        <v>62</v>
      </c>
      <c r="N20" s="43"/>
      <c r="O20" s="44" t="s">
        <v>63</v>
      </c>
      <c r="P20" s="44" t="s">
        <v>64</v>
      </c>
    </row>
    <row r="21" spans="1:16" ht="12.75" customHeight="1" thickBot="1">
      <c r="A21" s="10" t="str">
        <f t="shared" si="0"/>
        <v> PZ 4.314 </v>
      </c>
      <c r="B21" s="17" t="str">
        <f t="shared" si="1"/>
        <v>I</v>
      </c>
      <c r="C21" s="10">
        <f t="shared" si="2"/>
        <v>15283.39</v>
      </c>
      <c r="D21" s="14" t="str">
        <f t="shared" si="3"/>
        <v>vis</v>
      </c>
      <c r="E21" s="41">
        <f>VLOOKUP(C21,Active!C$21:E$973,3,FALSE)</f>
        <v>-483.91750109913539</v>
      </c>
      <c r="F21" s="17" t="s">
        <v>57</v>
      </c>
      <c r="G21" s="14" t="str">
        <f t="shared" si="4"/>
        <v>15283.39</v>
      </c>
      <c r="H21" s="10">
        <f t="shared" si="5"/>
        <v>-484</v>
      </c>
      <c r="I21" s="42" t="s">
        <v>75</v>
      </c>
      <c r="J21" s="43" t="s">
        <v>76</v>
      </c>
      <c r="K21" s="42">
        <v>-484</v>
      </c>
      <c r="L21" s="42" t="s">
        <v>77</v>
      </c>
      <c r="M21" s="43" t="s">
        <v>62</v>
      </c>
      <c r="N21" s="43"/>
      <c r="O21" s="44" t="s">
        <v>63</v>
      </c>
      <c r="P21" s="44" t="s">
        <v>64</v>
      </c>
    </row>
    <row r="22" spans="1:16" ht="12.75" customHeight="1" thickBot="1">
      <c r="A22" s="10" t="str">
        <f t="shared" si="0"/>
        <v> PZ 4.314 </v>
      </c>
      <c r="B22" s="17" t="str">
        <f t="shared" si="1"/>
        <v>II</v>
      </c>
      <c r="C22" s="10">
        <f t="shared" si="2"/>
        <v>15310.25</v>
      </c>
      <c r="D22" s="14" t="str">
        <f t="shared" si="3"/>
        <v>vis</v>
      </c>
      <c r="E22" s="41">
        <f>VLOOKUP(C22,Active!C$21:E$973,3,FALSE)</f>
        <v>-483.21873707377591</v>
      </c>
      <c r="F22" s="17" t="s">
        <v>57</v>
      </c>
      <c r="G22" s="14" t="str">
        <f t="shared" si="4"/>
        <v>15310.25</v>
      </c>
      <c r="H22" s="10">
        <f t="shared" si="5"/>
        <v>-483.5</v>
      </c>
      <c r="I22" s="42" t="s">
        <v>78</v>
      </c>
      <c r="J22" s="43" t="s">
        <v>79</v>
      </c>
      <c r="K22" s="42">
        <v>-483.5</v>
      </c>
      <c r="L22" s="42" t="s">
        <v>80</v>
      </c>
      <c r="M22" s="43" t="s">
        <v>62</v>
      </c>
      <c r="N22" s="43"/>
      <c r="O22" s="44" t="s">
        <v>63</v>
      </c>
      <c r="P22" s="44" t="s">
        <v>64</v>
      </c>
    </row>
    <row r="23" spans="1:16" ht="12.75" customHeight="1" thickBot="1">
      <c r="A23" s="10" t="str">
        <f t="shared" si="0"/>
        <v> PZ 4.314 </v>
      </c>
      <c r="B23" s="17" t="str">
        <f t="shared" si="1"/>
        <v>II</v>
      </c>
      <c r="C23" s="10">
        <f t="shared" si="2"/>
        <v>16343.38</v>
      </c>
      <c r="D23" s="14" t="str">
        <f t="shared" si="3"/>
        <v>vis</v>
      </c>
      <c r="E23" s="41">
        <f>VLOOKUP(C23,Active!C$21:E$973,3,FALSE)</f>
        <v>-456.34181683849596</v>
      </c>
      <c r="F23" s="17" t="s">
        <v>57</v>
      </c>
      <c r="G23" s="14" t="str">
        <f t="shared" si="4"/>
        <v>16343.38</v>
      </c>
      <c r="H23" s="10">
        <f t="shared" si="5"/>
        <v>-456.5</v>
      </c>
      <c r="I23" s="42" t="s">
        <v>81</v>
      </c>
      <c r="J23" s="43" t="s">
        <v>82</v>
      </c>
      <c r="K23" s="42">
        <v>-456.5</v>
      </c>
      <c r="L23" s="42" t="s">
        <v>83</v>
      </c>
      <c r="M23" s="43" t="s">
        <v>62</v>
      </c>
      <c r="N23" s="43"/>
      <c r="O23" s="44" t="s">
        <v>63</v>
      </c>
      <c r="P23" s="44" t="s">
        <v>64</v>
      </c>
    </row>
    <row r="24" spans="1:16" ht="12.75" customHeight="1" thickBot="1">
      <c r="A24" s="10" t="str">
        <f t="shared" si="0"/>
        <v> PZ 4.314 </v>
      </c>
      <c r="B24" s="17" t="str">
        <f t="shared" si="1"/>
        <v>I</v>
      </c>
      <c r="C24" s="10">
        <f t="shared" si="2"/>
        <v>16462.169999999998</v>
      </c>
      <c r="D24" s="14" t="str">
        <f t="shared" si="3"/>
        <v>vis</v>
      </c>
      <c r="E24" s="41">
        <f>VLOOKUP(C24,Active!C$21:E$973,3,FALSE)</f>
        <v>-453.2514900115246</v>
      </c>
      <c r="F24" s="17" t="s">
        <v>57</v>
      </c>
      <c r="G24" s="14" t="str">
        <f t="shared" si="4"/>
        <v>16462.17</v>
      </c>
      <c r="H24" s="10">
        <f t="shared" si="5"/>
        <v>-453</v>
      </c>
      <c r="I24" s="42" t="s">
        <v>84</v>
      </c>
      <c r="J24" s="43" t="s">
        <v>85</v>
      </c>
      <c r="K24" s="42">
        <v>-453</v>
      </c>
      <c r="L24" s="42" t="s">
        <v>86</v>
      </c>
      <c r="M24" s="43" t="s">
        <v>62</v>
      </c>
      <c r="N24" s="43"/>
      <c r="O24" s="44" t="s">
        <v>63</v>
      </c>
      <c r="P24" s="44" t="s">
        <v>64</v>
      </c>
    </row>
    <row r="25" spans="1:16" ht="12.75" customHeight="1" thickBot="1">
      <c r="A25" s="10" t="str">
        <f t="shared" si="0"/>
        <v> PZ 5.211 </v>
      </c>
      <c r="B25" s="17" t="str">
        <f t="shared" si="1"/>
        <v>I</v>
      </c>
      <c r="C25" s="10">
        <f t="shared" si="2"/>
        <v>17818.310000000001</v>
      </c>
      <c r="D25" s="14" t="str">
        <f t="shared" si="3"/>
        <v>vis</v>
      </c>
      <c r="E25" s="41">
        <f>VLOOKUP(C25,Active!C$21:E$973,3,FALSE)</f>
        <v>-417.97145109302181</v>
      </c>
      <c r="F25" s="17" t="s">
        <v>57</v>
      </c>
      <c r="G25" s="14" t="str">
        <f t="shared" si="4"/>
        <v>17818.31</v>
      </c>
      <c r="H25" s="10">
        <f t="shared" si="5"/>
        <v>-418</v>
      </c>
      <c r="I25" s="42" t="s">
        <v>87</v>
      </c>
      <c r="J25" s="43" t="s">
        <v>88</v>
      </c>
      <c r="K25" s="42">
        <v>-418</v>
      </c>
      <c r="L25" s="42" t="s">
        <v>89</v>
      </c>
      <c r="M25" s="43" t="s">
        <v>62</v>
      </c>
      <c r="N25" s="43"/>
      <c r="O25" s="44" t="s">
        <v>63</v>
      </c>
      <c r="P25" s="44" t="s">
        <v>71</v>
      </c>
    </row>
    <row r="26" spans="1:16" ht="12.75" customHeight="1" thickBot="1">
      <c r="A26" s="10" t="str">
        <f t="shared" si="0"/>
        <v> PZ 4.314 </v>
      </c>
      <c r="B26" s="17" t="str">
        <f t="shared" si="1"/>
        <v>I</v>
      </c>
      <c r="C26" s="10">
        <f t="shared" si="2"/>
        <v>17853.330000000002</v>
      </c>
      <c r="D26" s="14" t="str">
        <f t="shared" si="3"/>
        <v>vis</v>
      </c>
      <c r="E26" s="41">
        <f>VLOOKUP(C26,Active!C$21:E$973,3,FALSE)</f>
        <v>-417.06040432578101</v>
      </c>
      <c r="F26" s="17" t="s">
        <v>57</v>
      </c>
      <c r="G26" s="14" t="str">
        <f t="shared" si="4"/>
        <v>17853.33</v>
      </c>
      <c r="H26" s="10">
        <f t="shared" si="5"/>
        <v>-417</v>
      </c>
      <c r="I26" s="42" t="s">
        <v>90</v>
      </c>
      <c r="J26" s="43" t="s">
        <v>91</v>
      </c>
      <c r="K26" s="42">
        <v>-417</v>
      </c>
      <c r="L26" s="42" t="s">
        <v>92</v>
      </c>
      <c r="M26" s="43" t="s">
        <v>62</v>
      </c>
      <c r="N26" s="43"/>
      <c r="O26" s="44" t="s">
        <v>63</v>
      </c>
      <c r="P26" s="44" t="s">
        <v>64</v>
      </c>
    </row>
    <row r="27" spans="1:16" ht="12.75" customHeight="1" thickBot="1">
      <c r="A27" s="10" t="str">
        <f t="shared" si="0"/>
        <v> PZ 4.314 </v>
      </c>
      <c r="B27" s="17" t="str">
        <f t="shared" si="1"/>
        <v>I</v>
      </c>
      <c r="C27" s="10">
        <f t="shared" si="2"/>
        <v>22668.16</v>
      </c>
      <c r="D27" s="14" t="str">
        <f t="shared" si="3"/>
        <v>vis</v>
      </c>
      <c r="E27" s="41">
        <f>VLOOKUP(C27,Active!C$21:E$973,3,FALSE)</f>
        <v>-291.80240014776535</v>
      </c>
      <c r="F27" s="17" t="s">
        <v>57</v>
      </c>
      <c r="G27" s="14" t="str">
        <f t="shared" si="4"/>
        <v>22668.16</v>
      </c>
      <c r="H27" s="10">
        <f t="shared" si="5"/>
        <v>-292</v>
      </c>
      <c r="I27" s="42" t="s">
        <v>93</v>
      </c>
      <c r="J27" s="43" t="s">
        <v>94</v>
      </c>
      <c r="K27" s="42">
        <v>-292</v>
      </c>
      <c r="L27" s="42" t="s">
        <v>95</v>
      </c>
      <c r="M27" s="43" t="s">
        <v>62</v>
      </c>
      <c r="N27" s="43"/>
      <c r="O27" s="44" t="s">
        <v>63</v>
      </c>
      <c r="P27" s="44" t="s">
        <v>64</v>
      </c>
    </row>
    <row r="28" spans="1:16" ht="12.75" customHeight="1" thickBot="1">
      <c r="A28" s="10" t="str">
        <f t="shared" si="0"/>
        <v> AN 235.86 </v>
      </c>
      <c r="B28" s="17" t="str">
        <f t="shared" si="1"/>
        <v>I</v>
      </c>
      <c r="C28" s="10">
        <f t="shared" si="2"/>
        <v>25504.46</v>
      </c>
      <c r="D28" s="14" t="str">
        <f t="shared" si="3"/>
        <v>vis</v>
      </c>
      <c r="E28" s="41">
        <f>VLOOKUP(C28,Active!C$21:E$973,3,FALSE)</f>
        <v>-218.01593681466616</v>
      </c>
      <c r="F28" s="17" t="s">
        <v>57</v>
      </c>
      <c r="G28" s="14" t="str">
        <f t="shared" si="4"/>
        <v>25504.46</v>
      </c>
      <c r="H28" s="10">
        <f t="shared" si="5"/>
        <v>-218</v>
      </c>
      <c r="I28" s="42" t="s">
        <v>96</v>
      </c>
      <c r="J28" s="43" t="s">
        <v>97</v>
      </c>
      <c r="K28" s="42">
        <v>-218</v>
      </c>
      <c r="L28" s="42" t="s">
        <v>98</v>
      </c>
      <c r="M28" s="43" t="s">
        <v>62</v>
      </c>
      <c r="N28" s="43"/>
      <c r="O28" s="44" t="s">
        <v>99</v>
      </c>
      <c r="P28" s="44" t="s">
        <v>100</v>
      </c>
    </row>
    <row r="29" spans="1:16" ht="12.75" customHeight="1" thickBot="1">
      <c r="A29" s="10" t="str">
        <f t="shared" si="0"/>
        <v> AN 243.337 </v>
      </c>
      <c r="B29" s="17" t="str">
        <f t="shared" si="1"/>
        <v>II</v>
      </c>
      <c r="C29" s="10">
        <f t="shared" si="2"/>
        <v>25601.26</v>
      </c>
      <c r="D29" s="14" t="str">
        <f t="shared" si="3"/>
        <v>vis</v>
      </c>
      <c r="E29" s="41">
        <f>VLOOKUP(C29,Active!C$21:E$973,3,FALSE)</f>
        <v>-215.4976807590148</v>
      </c>
      <c r="F29" s="17" t="s">
        <v>57</v>
      </c>
      <c r="G29" s="14" t="str">
        <f t="shared" si="4"/>
        <v>25601.26</v>
      </c>
      <c r="H29" s="10">
        <f t="shared" si="5"/>
        <v>-215.5</v>
      </c>
      <c r="I29" s="42" t="s">
        <v>101</v>
      </c>
      <c r="J29" s="43" t="s">
        <v>102</v>
      </c>
      <c r="K29" s="42">
        <v>-215.5</v>
      </c>
      <c r="L29" s="42" t="s">
        <v>103</v>
      </c>
      <c r="M29" s="43" t="s">
        <v>62</v>
      </c>
      <c r="N29" s="43"/>
      <c r="O29" s="44" t="s">
        <v>99</v>
      </c>
      <c r="P29" s="44" t="s">
        <v>104</v>
      </c>
    </row>
    <row r="30" spans="1:16" ht="12.75" customHeight="1" thickBot="1">
      <c r="A30" s="10" t="str">
        <f t="shared" si="0"/>
        <v> AN 243.337 </v>
      </c>
      <c r="B30" s="17" t="str">
        <f t="shared" si="1"/>
        <v>II</v>
      </c>
      <c r="C30" s="10">
        <f t="shared" si="2"/>
        <v>25645.25</v>
      </c>
      <c r="D30" s="14" t="str">
        <f t="shared" si="3"/>
        <v>vis</v>
      </c>
      <c r="E30" s="41">
        <f>VLOOKUP(C30,Active!C$21:E$973,3,FALSE)</f>
        <v>-214.35327906595583</v>
      </c>
      <c r="F30" s="17" t="s">
        <v>57</v>
      </c>
      <c r="G30" s="14" t="str">
        <f t="shared" si="4"/>
        <v>25645.25</v>
      </c>
      <c r="H30" s="10">
        <f t="shared" si="5"/>
        <v>-214.5</v>
      </c>
      <c r="I30" s="42" t="s">
        <v>105</v>
      </c>
      <c r="J30" s="43" t="s">
        <v>106</v>
      </c>
      <c r="K30" s="42">
        <v>-214.5</v>
      </c>
      <c r="L30" s="42" t="s">
        <v>107</v>
      </c>
      <c r="M30" s="43" t="s">
        <v>62</v>
      </c>
      <c r="N30" s="43"/>
      <c r="O30" s="44" t="s">
        <v>99</v>
      </c>
      <c r="P30" s="44" t="s">
        <v>104</v>
      </c>
    </row>
    <row r="31" spans="1:16" ht="12.75" customHeight="1" thickBot="1">
      <c r="A31" s="10" t="str">
        <f t="shared" si="0"/>
        <v> AN 243.337 </v>
      </c>
      <c r="B31" s="17" t="str">
        <f t="shared" si="1"/>
        <v>I</v>
      </c>
      <c r="C31" s="10">
        <f t="shared" si="2"/>
        <v>25890.42</v>
      </c>
      <c r="D31" s="14" t="str">
        <f t="shared" si="3"/>
        <v>vis</v>
      </c>
      <c r="E31" s="41">
        <f>VLOOKUP(C31,Active!C$21:E$973,3,FALSE)</f>
        <v>-207.97517124401324</v>
      </c>
      <c r="F31" s="17" t="s">
        <v>57</v>
      </c>
      <c r="G31" s="14" t="str">
        <f t="shared" si="4"/>
        <v>25890.42</v>
      </c>
      <c r="H31" s="10">
        <f t="shared" si="5"/>
        <v>-208</v>
      </c>
      <c r="I31" s="42" t="s">
        <v>108</v>
      </c>
      <c r="J31" s="43" t="s">
        <v>109</v>
      </c>
      <c r="K31" s="42">
        <v>-208</v>
      </c>
      <c r="L31" s="42" t="s">
        <v>110</v>
      </c>
      <c r="M31" s="43" t="s">
        <v>62</v>
      </c>
      <c r="N31" s="43"/>
      <c r="O31" s="44" t="s">
        <v>99</v>
      </c>
      <c r="P31" s="44" t="s">
        <v>104</v>
      </c>
    </row>
    <row r="32" spans="1:16" ht="12.75" customHeight="1" thickBot="1">
      <c r="A32" s="10" t="str">
        <f t="shared" si="0"/>
        <v> AN 243.337 </v>
      </c>
      <c r="B32" s="17" t="str">
        <f t="shared" si="1"/>
        <v>I</v>
      </c>
      <c r="C32" s="10">
        <f t="shared" si="2"/>
        <v>25966.240000000002</v>
      </c>
      <c r="D32" s="14" t="str">
        <f t="shared" si="3"/>
        <v>vis</v>
      </c>
      <c r="E32" s="41">
        <f>VLOOKUP(C32,Active!C$21:E$973,3,FALSE)</f>
        <v>-206.00271076736556</v>
      </c>
      <c r="F32" s="17" t="s">
        <v>57</v>
      </c>
      <c r="G32" s="14" t="str">
        <f t="shared" si="4"/>
        <v>25966.24</v>
      </c>
      <c r="H32" s="10">
        <f t="shared" si="5"/>
        <v>-206</v>
      </c>
      <c r="I32" s="42" t="s">
        <v>111</v>
      </c>
      <c r="J32" s="43" t="s">
        <v>112</v>
      </c>
      <c r="K32" s="42">
        <v>-206</v>
      </c>
      <c r="L32" s="42" t="s">
        <v>113</v>
      </c>
      <c r="M32" s="43" t="s">
        <v>62</v>
      </c>
      <c r="N32" s="43"/>
      <c r="O32" s="44" t="s">
        <v>99</v>
      </c>
      <c r="P32" s="44" t="s">
        <v>104</v>
      </c>
    </row>
    <row r="33" spans="1:16" ht="12.75" customHeight="1" thickBot="1">
      <c r="A33" s="10" t="str">
        <f t="shared" si="0"/>
        <v> AN 243.337 </v>
      </c>
      <c r="B33" s="17" t="str">
        <f t="shared" si="1"/>
        <v>II</v>
      </c>
      <c r="C33" s="10">
        <f t="shared" si="2"/>
        <v>26029.64</v>
      </c>
      <c r="D33" s="14" t="str">
        <f t="shared" si="3"/>
        <v>vis</v>
      </c>
      <c r="E33" s="41">
        <f>VLOOKUP(C33,Active!C$21:E$973,3,FALSE)</f>
        <v>-204.35335711108155</v>
      </c>
      <c r="F33" s="17" t="s">
        <v>57</v>
      </c>
      <c r="G33" s="14" t="str">
        <f t="shared" si="4"/>
        <v>26029.64</v>
      </c>
      <c r="H33" s="10">
        <f t="shared" si="5"/>
        <v>-204.5</v>
      </c>
      <c r="I33" s="42" t="s">
        <v>114</v>
      </c>
      <c r="J33" s="43" t="s">
        <v>115</v>
      </c>
      <c r="K33" s="42">
        <v>-204.5</v>
      </c>
      <c r="L33" s="42" t="s">
        <v>107</v>
      </c>
      <c r="M33" s="43" t="s">
        <v>62</v>
      </c>
      <c r="N33" s="43"/>
      <c r="O33" s="44" t="s">
        <v>99</v>
      </c>
      <c r="P33" s="44" t="s">
        <v>104</v>
      </c>
    </row>
    <row r="34" spans="1:16" ht="12.75" customHeight="1" thickBot="1">
      <c r="A34" s="10" t="str">
        <f t="shared" si="0"/>
        <v> AN 243.337 </v>
      </c>
      <c r="B34" s="17" t="str">
        <f t="shared" si="1"/>
        <v>I</v>
      </c>
      <c r="C34" s="10">
        <f t="shared" si="2"/>
        <v>26120.47</v>
      </c>
      <c r="D34" s="14" t="str">
        <f t="shared" si="3"/>
        <v>vis</v>
      </c>
      <c r="E34" s="41">
        <f>VLOOKUP(C34,Active!C$21:E$973,3,FALSE)</f>
        <v>-201.99041085555655</v>
      </c>
      <c r="F34" s="17" t="s">
        <v>57</v>
      </c>
      <c r="G34" s="14" t="str">
        <f t="shared" si="4"/>
        <v>26120.47</v>
      </c>
      <c r="H34" s="10">
        <f t="shared" si="5"/>
        <v>-202</v>
      </c>
      <c r="I34" s="42" t="s">
        <v>116</v>
      </c>
      <c r="J34" s="43" t="s">
        <v>117</v>
      </c>
      <c r="K34" s="42">
        <v>-202</v>
      </c>
      <c r="L34" s="42" t="s">
        <v>118</v>
      </c>
      <c r="M34" s="43" t="s">
        <v>62</v>
      </c>
      <c r="N34" s="43"/>
      <c r="O34" s="44" t="s">
        <v>99</v>
      </c>
      <c r="P34" s="44" t="s">
        <v>104</v>
      </c>
    </row>
    <row r="35" spans="1:16" ht="12.75" customHeight="1" thickBot="1">
      <c r="A35" s="10" t="str">
        <f t="shared" si="0"/>
        <v> AN 243.337 </v>
      </c>
      <c r="B35" s="17" t="str">
        <f t="shared" si="1"/>
        <v>I</v>
      </c>
      <c r="C35" s="10">
        <f t="shared" si="2"/>
        <v>26159.45</v>
      </c>
      <c r="D35" s="14" t="str">
        <f t="shared" si="3"/>
        <v>vis</v>
      </c>
      <c r="E35" s="41">
        <f>VLOOKUP(C35,Active!C$21:E$973,3,FALSE)</f>
        <v>-200.97634452240274</v>
      </c>
      <c r="F35" s="17" t="s">
        <v>57</v>
      </c>
      <c r="G35" s="14" t="str">
        <f t="shared" si="4"/>
        <v>26159.45</v>
      </c>
      <c r="H35" s="10">
        <f t="shared" si="5"/>
        <v>-201</v>
      </c>
      <c r="I35" s="42" t="s">
        <v>119</v>
      </c>
      <c r="J35" s="43" t="s">
        <v>120</v>
      </c>
      <c r="K35" s="42">
        <v>-201</v>
      </c>
      <c r="L35" s="42" t="s">
        <v>121</v>
      </c>
      <c r="M35" s="43" t="s">
        <v>62</v>
      </c>
      <c r="N35" s="43"/>
      <c r="O35" s="44" t="s">
        <v>99</v>
      </c>
      <c r="P35" s="44" t="s">
        <v>104</v>
      </c>
    </row>
    <row r="36" spans="1:16" ht="12.75" customHeight="1" thickBot="1">
      <c r="A36" s="10" t="str">
        <f t="shared" si="0"/>
        <v> AN 243.337 </v>
      </c>
      <c r="B36" s="17" t="str">
        <f t="shared" si="1"/>
        <v>II</v>
      </c>
      <c r="C36" s="10">
        <f t="shared" si="2"/>
        <v>26178.49</v>
      </c>
      <c r="D36" s="14" t="str">
        <f t="shared" si="3"/>
        <v>vis</v>
      </c>
      <c r="E36" s="41">
        <f>VLOOKUP(C36,Active!C$21:E$973,3,FALSE)</f>
        <v>-200.48101812467954</v>
      </c>
      <c r="F36" s="17" t="s">
        <v>57</v>
      </c>
      <c r="G36" s="14" t="str">
        <f t="shared" si="4"/>
        <v>26178.49</v>
      </c>
      <c r="H36" s="10">
        <f t="shared" si="5"/>
        <v>-200.5</v>
      </c>
      <c r="I36" s="42" t="s">
        <v>122</v>
      </c>
      <c r="J36" s="43" t="s">
        <v>123</v>
      </c>
      <c r="K36" s="42">
        <v>-200.5</v>
      </c>
      <c r="L36" s="42" t="s">
        <v>124</v>
      </c>
      <c r="M36" s="43" t="s">
        <v>62</v>
      </c>
      <c r="N36" s="43"/>
      <c r="O36" s="44" t="s">
        <v>99</v>
      </c>
      <c r="P36" s="44" t="s">
        <v>104</v>
      </c>
    </row>
    <row r="37" spans="1:16" ht="12.75" customHeight="1" thickBot="1">
      <c r="A37" s="10" t="str">
        <f t="shared" si="0"/>
        <v> AN 243.337 </v>
      </c>
      <c r="B37" s="17" t="str">
        <f t="shared" si="1"/>
        <v>II</v>
      </c>
      <c r="C37" s="10">
        <f t="shared" si="2"/>
        <v>26222.48</v>
      </c>
      <c r="D37" s="14" t="str">
        <f t="shared" si="3"/>
        <v>vis</v>
      </c>
      <c r="E37" s="41">
        <f>VLOOKUP(C37,Active!C$21:E$973,3,FALSE)</f>
        <v>-199.33661643162066</v>
      </c>
      <c r="F37" s="17" t="s">
        <v>57</v>
      </c>
      <c r="G37" s="14" t="str">
        <f t="shared" si="4"/>
        <v>26222.48</v>
      </c>
      <c r="H37" s="10">
        <f t="shared" si="5"/>
        <v>-199.5</v>
      </c>
      <c r="I37" s="42" t="s">
        <v>125</v>
      </c>
      <c r="J37" s="43" t="s">
        <v>126</v>
      </c>
      <c r="K37" s="42">
        <v>-199.5</v>
      </c>
      <c r="L37" s="42" t="s">
        <v>127</v>
      </c>
      <c r="M37" s="43" t="s">
        <v>62</v>
      </c>
      <c r="N37" s="43"/>
      <c r="O37" s="44" t="s">
        <v>99</v>
      </c>
      <c r="P37" s="44" t="s">
        <v>104</v>
      </c>
    </row>
    <row r="38" spans="1:16" ht="12.75" customHeight="1" thickBot="1">
      <c r="A38" s="10" t="str">
        <f t="shared" si="0"/>
        <v> AN 243.337 </v>
      </c>
      <c r="B38" s="17" t="str">
        <f t="shared" si="1"/>
        <v>I</v>
      </c>
      <c r="C38" s="10">
        <f t="shared" si="2"/>
        <v>26352.240000000002</v>
      </c>
      <c r="D38" s="14" t="str">
        <f t="shared" si="3"/>
        <v>vis</v>
      </c>
      <c r="E38" s="41">
        <f>VLOOKUP(C38,Active!C$21:E$973,3,FALSE)</f>
        <v>-195.96090459503671</v>
      </c>
      <c r="F38" s="17" t="s">
        <v>57</v>
      </c>
      <c r="G38" s="14" t="str">
        <f t="shared" si="4"/>
        <v>26352.24</v>
      </c>
      <c r="H38" s="10">
        <f t="shared" si="5"/>
        <v>-196</v>
      </c>
      <c r="I38" s="42" t="s">
        <v>128</v>
      </c>
      <c r="J38" s="43" t="s">
        <v>129</v>
      </c>
      <c r="K38" s="42">
        <v>-196</v>
      </c>
      <c r="L38" s="42" t="s">
        <v>130</v>
      </c>
      <c r="M38" s="43" t="s">
        <v>62</v>
      </c>
      <c r="N38" s="43"/>
      <c r="O38" s="44" t="s">
        <v>99</v>
      </c>
      <c r="P38" s="44" t="s">
        <v>104</v>
      </c>
    </row>
    <row r="39" spans="1:16" ht="12.75" customHeight="1" thickBot="1">
      <c r="A39" s="10" t="str">
        <f t="shared" si="0"/>
        <v> AN 243.337 </v>
      </c>
      <c r="B39" s="17" t="str">
        <f t="shared" si="1"/>
        <v>I</v>
      </c>
      <c r="C39" s="10">
        <f t="shared" si="2"/>
        <v>26426.639999999999</v>
      </c>
      <c r="D39" s="14" t="str">
        <f t="shared" si="3"/>
        <v>vis</v>
      </c>
      <c r="E39" s="41">
        <f>VLOOKUP(C39,Active!C$21:E$973,3,FALSE)</f>
        <v>-194.02538547788322</v>
      </c>
      <c r="F39" s="17" t="s">
        <v>57</v>
      </c>
      <c r="G39" s="14" t="str">
        <f t="shared" si="4"/>
        <v>26426.64</v>
      </c>
      <c r="H39" s="10">
        <f t="shared" si="5"/>
        <v>-194</v>
      </c>
      <c r="I39" s="42" t="s">
        <v>131</v>
      </c>
      <c r="J39" s="43" t="s">
        <v>132</v>
      </c>
      <c r="K39" s="42">
        <v>-194</v>
      </c>
      <c r="L39" s="42" t="s">
        <v>133</v>
      </c>
      <c r="M39" s="43" t="s">
        <v>62</v>
      </c>
      <c r="N39" s="43"/>
      <c r="O39" s="44" t="s">
        <v>99</v>
      </c>
      <c r="P39" s="44" t="s">
        <v>104</v>
      </c>
    </row>
    <row r="40" spans="1:16" ht="12.75" customHeight="1" thickBot="1">
      <c r="A40" s="10" t="str">
        <f t="shared" si="0"/>
        <v> PZ 5.97 </v>
      </c>
      <c r="B40" s="17" t="str">
        <f t="shared" si="1"/>
        <v>I</v>
      </c>
      <c r="C40" s="10">
        <f t="shared" si="2"/>
        <v>28040.92</v>
      </c>
      <c r="D40" s="14" t="str">
        <f t="shared" si="3"/>
        <v>vis</v>
      </c>
      <c r="E40" s="41">
        <f>VLOOKUP(C40,Active!C$21:E$973,3,FALSE)</f>
        <v>-152.02982364403093</v>
      </c>
      <c r="F40" s="17" t="s">
        <v>57</v>
      </c>
      <c r="G40" s="14" t="str">
        <f t="shared" si="4"/>
        <v>28040.92</v>
      </c>
      <c r="H40" s="10">
        <f t="shared" si="5"/>
        <v>-152</v>
      </c>
      <c r="I40" s="42" t="s">
        <v>134</v>
      </c>
      <c r="J40" s="43" t="s">
        <v>135</v>
      </c>
      <c r="K40" s="42">
        <v>-152</v>
      </c>
      <c r="L40" s="42" t="s">
        <v>136</v>
      </c>
      <c r="M40" s="43" t="s">
        <v>62</v>
      </c>
      <c r="N40" s="43"/>
      <c r="O40" s="44" t="s">
        <v>137</v>
      </c>
      <c r="P40" s="44" t="s">
        <v>138</v>
      </c>
    </row>
    <row r="41" spans="1:16" ht="12.75" customHeight="1" thickBot="1">
      <c r="A41" s="10" t="str">
        <f t="shared" si="0"/>
        <v> PZ 5.211 </v>
      </c>
      <c r="B41" s="17" t="str">
        <f t="shared" si="1"/>
        <v>I</v>
      </c>
      <c r="C41" s="10">
        <f t="shared" si="2"/>
        <v>28081.26</v>
      </c>
      <c r="D41" s="14" t="str">
        <f t="shared" si="3"/>
        <v>vis</v>
      </c>
      <c r="E41" s="41">
        <f>VLOOKUP(C41,Active!C$21:E$973,3,FALSE)</f>
        <v>-150.98037685389687</v>
      </c>
      <c r="F41" s="17" t="s">
        <v>57</v>
      </c>
      <c r="G41" s="14" t="str">
        <f t="shared" si="4"/>
        <v>28081.26</v>
      </c>
      <c r="H41" s="10">
        <f t="shared" si="5"/>
        <v>-151</v>
      </c>
      <c r="I41" s="42" t="s">
        <v>139</v>
      </c>
      <c r="J41" s="43" t="s">
        <v>140</v>
      </c>
      <c r="K41" s="42">
        <v>-151</v>
      </c>
      <c r="L41" s="42" t="s">
        <v>141</v>
      </c>
      <c r="M41" s="43" t="s">
        <v>62</v>
      </c>
      <c r="N41" s="43"/>
      <c r="O41" s="44" t="s">
        <v>63</v>
      </c>
      <c r="P41" s="44" t="s">
        <v>71</v>
      </c>
    </row>
    <row r="42" spans="1:16" ht="12.75" customHeight="1" thickBot="1">
      <c r="A42" s="10" t="str">
        <f t="shared" si="0"/>
        <v> HB 914.12 </v>
      </c>
      <c r="B42" s="17" t="str">
        <f t="shared" si="1"/>
        <v>I</v>
      </c>
      <c r="C42" s="10">
        <f t="shared" si="2"/>
        <v>28426.31</v>
      </c>
      <c r="D42" s="14" t="str">
        <f t="shared" si="3"/>
        <v>vis</v>
      </c>
      <c r="E42" s="41">
        <f>VLOOKUP(C42,Active!C$21:E$973,3,FALSE)</f>
        <v>-142.00388664725932</v>
      </c>
      <c r="F42" s="17" t="s">
        <v>57</v>
      </c>
      <c r="G42" s="14" t="str">
        <f t="shared" si="4"/>
        <v>28426.31</v>
      </c>
      <c r="H42" s="10">
        <f t="shared" si="5"/>
        <v>-142</v>
      </c>
      <c r="I42" s="42" t="s">
        <v>142</v>
      </c>
      <c r="J42" s="43" t="s">
        <v>143</v>
      </c>
      <c r="K42" s="42">
        <v>-142</v>
      </c>
      <c r="L42" s="42" t="s">
        <v>144</v>
      </c>
      <c r="M42" s="43" t="s">
        <v>58</v>
      </c>
      <c r="N42" s="43"/>
      <c r="O42" s="44" t="s">
        <v>145</v>
      </c>
      <c r="P42" s="44" t="s">
        <v>146</v>
      </c>
    </row>
    <row r="43" spans="1:16" ht="12.75" customHeight="1" thickBot="1">
      <c r="A43" s="10" t="str">
        <f t="shared" si="0"/>
        <v> PZ 5.211 </v>
      </c>
      <c r="B43" s="17" t="str">
        <f t="shared" si="1"/>
        <v>I</v>
      </c>
      <c r="C43" s="10">
        <f t="shared" si="2"/>
        <v>28426.37</v>
      </c>
      <c r="D43" s="14" t="str">
        <f t="shared" si="3"/>
        <v>vis</v>
      </c>
      <c r="E43" s="41">
        <f>VLOOKUP(C43,Active!C$21:E$973,3,FALSE)</f>
        <v>-142.00232574474555</v>
      </c>
      <c r="F43" s="17" t="s">
        <v>57</v>
      </c>
      <c r="G43" s="14" t="str">
        <f t="shared" si="4"/>
        <v>28426.37</v>
      </c>
      <c r="H43" s="10">
        <f t="shared" si="5"/>
        <v>-142</v>
      </c>
      <c r="I43" s="42" t="s">
        <v>147</v>
      </c>
      <c r="J43" s="43" t="s">
        <v>148</v>
      </c>
      <c r="K43" s="42">
        <v>-142</v>
      </c>
      <c r="L43" s="42" t="s">
        <v>149</v>
      </c>
      <c r="M43" s="43" t="s">
        <v>62</v>
      </c>
      <c r="N43" s="43"/>
      <c r="O43" s="44" t="s">
        <v>63</v>
      </c>
      <c r="P43" s="44" t="s">
        <v>71</v>
      </c>
    </row>
    <row r="44" spans="1:16" ht="12.75" customHeight="1" thickBot="1">
      <c r="A44" s="10" t="str">
        <f t="shared" si="0"/>
        <v> PZ 5.211 </v>
      </c>
      <c r="B44" s="17" t="str">
        <f t="shared" si="1"/>
        <v>I</v>
      </c>
      <c r="C44" s="10">
        <f t="shared" si="2"/>
        <v>28427.34</v>
      </c>
      <c r="D44" s="14" t="str">
        <f t="shared" si="3"/>
        <v>vis</v>
      </c>
      <c r="E44" s="41">
        <f>VLOOKUP(C44,Active!C$21:E$973,3,FALSE)</f>
        <v>-141.97709115410521</v>
      </c>
      <c r="F44" s="17" t="s">
        <v>57</v>
      </c>
      <c r="G44" s="14" t="str">
        <f t="shared" si="4"/>
        <v>28427.34</v>
      </c>
      <c r="H44" s="10">
        <f t="shared" si="5"/>
        <v>-142</v>
      </c>
      <c r="I44" s="42" t="s">
        <v>150</v>
      </c>
      <c r="J44" s="43" t="s">
        <v>151</v>
      </c>
      <c r="K44" s="42">
        <v>-142</v>
      </c>
      <c r="L44" s="42" t="s">
        <v>152</v>
      </c>
      <c r="M44" s="43" t="s">
        <v>62</v>
      </c>
      <c r="N44" s="43"/>
      <c r="O44" s="44" t="s">
        <v>63</v>
      </c>
      <c r="P44" s="44" t="s">
        <v>71</v>
      </c>
    </row>
    <row r="45" spans="1:16" ht="12.75" customHeight="1" thickBot="1">
      <c r="A45" s="10" t="str">
        <f t="shared" si="0"/>
        <v> IODE 4.1.266 </v>
      </c>
      <c r="B45" s="17" t="str">
        <f t="shared" si="1"/>
        <v>I</v>
      </c>
      <c r="C45" s="10">
        <f t="shared" si="2"/>
        <v>31616.959999999999</v>
      </c>
      <c r="D45" s="14" t="str">
        <f t="shared" si="3"/>
        <v>vis</v>
      </c>
      <c r="E45" s="41">
        <f>VLOOKUP(C45,Active!C$21:E$973,3,FALSE)</f>
        <v>-58.998993217878507</v>
      </c>
      <c r="F45" s="17" t="s">
        <v>57</v>
      </c>
      <c r="G45" s="14" t="str">
        <f t="shared" si="4"/>
        <v>31616.96</v>
      </c>
      <c r="H45" s="10">
        <f t="shared" si="5"/>
        <v>-59</v>
      </c>
      <c r="I45" s="42" t="s">
        <v>153</v>
      </c>
      <c r="J45" s="43" t="s">
        <v>154</v>
      </c>
      <c r="K45" s="42">
        <v>-59</v>
      </c>
      <c r="L45" s="42" t="s">
        <v>155</v>
      </c>
      <c r="M45" s="43" t="s">
        <v>156</v>
      </c>
      <c r="N45" s="43"/>
      <c r="O45" s="44" t="s">
        <v>157</v>
      </c>
      <c r="P45" s="44" t="s">
        <v>158</v>
      </c>
    </row>
    <row r="46" spans="1:16" ht="12.75" customHeight="1" thickBot="1">
      <c r="A46" s="10" t="str">
        <f t="shared" si="0"/>
        <v> AC 43.2 </v>
      </c>
      <c r="B46" s="17" t="str">
        <f t="shared" si="1"/>
        <v>I</v>
      </c>
      <c r="C46" s="10">
        <f t="shared" si="2"/>
        <v>31655.7</v>
      </c>
      <c r="D46" s="14" t="str">
        <f t="shared" si="3"/>
        <v>vis</v>
      </c>
      <c r="E46" s="41">
        <f>VLOOKUP(C46,Active!C$21:E$973,3,FALSE)</f>
        <v>-57.991170494779965</v>
      </c>
      <c r="F46" s="17" t="s">
        <v>57</v>
      </c>
      <c r="G46" s="14" t="str">
        <f t="shared" si="4"/>
        <v>31655.7</v>
      </c>
      <c r="H46" s="10">
        <f t="shared" si="5"/>
        <v>-58</v>
      </c>
      <c r="I46" s="42" t="s">
        <v>159</v>
      </c>
      <c r="J46" s="43" t="s">
        <v>160</v>
      </c>
      <c r="K46" s="42">
        <v>-58</v>
      </c>
      <c r="L46" s="42" t="s">
        <v>161</v>
      </c>
      <c r="M46" s="43" t="s">
        <v>156</v>
      </c>
      <c r="N46" s="43"/>
      <c r="O46" s="44" t="s">
        <v>157</v>
      </c>
      <c r="P46" s="44" t="s">
        <v>162</v>
      </c>
    </row>
    <row r="47" spans="1:16" ht="12.75" customHeight="1" thickBot="1">
      <c r="A47" s="10" t="str">
        <f t="shared" si="0"/>
        <v> PZ 8.302 </v>
      </c>
      <c r="B47" s="17" t="str">
        <f t="shared" si="1"/>
        <v>I</v>
      </c>
      <c r="C47" s="10">
        <f t="shared" si="2"/>
        <v>33500.660000000003</v>
      </c>
      <c r="D47" s="14" t="str">
        <f t="shared" si="3"/>
        <v>vis</v>
      </c>
      <c r="E47" s="41">
        <f>VLOOKUP(C47,Active!C$21:E$973,3,FALSE)</f>
        <v>-9.9944587960757083</v>
      </c>
      <c r="F47" s="17" t="s">
        <v>57</v>
      </c>
      <c r="G47" s="14" t="str">
        <f t="shared" si="4"/>
        <v>33500.66</v>
      </c>
      <c r="H47" s="10">
        <f t="shared" si="5"/>
        <v>-10</v>
      </c>
      <c r="I47" s="42" t="s">
        <v>163</v>
      </c>
      <c r="J47" s="43" t="s">
        <v>164</v>
      </c>
      <c r="K47" s="42">
        <v>-10</v>
      </c>
      <c r="L47" s="42" t="s">
        <v>165</v>
      </c>
      <c r="M47" s="43" t="s">
        <v>62</v>
      </c>
      <c r="N47" s="43"/>
      <c r="O47" s="44" t="s">
        <v>166</v>
      </c>
      <c r="P47" s="44" t="s">
        <v>167</v>
      </c>
    </row>
    <row r="48" spans="1:16" ht="12.75" customHeight="1" thickBot="1">
      <c r="A48" s="10" t="str">
        <f t="shared" si="0"/>
        <v> VSSC 73 </v>
      </c>
      <c r="B48" s="17" t="str">
        <f t="shared" si="1"/>
        <v>I</v>
      </c>
      <c r="C48" s="10">
        <f t="shared" si="2"/>
        <v>47761.542999999998</v>
      </c>
      <c r="D48" s="14" t="str">
        <f t="shared" si="3"/>
        <v>vis</v>
      </c>
      <c r="E48" s="41">
        <f>VLOOKUP(C48,Active!C$21:E$973,3,FALSE)</f>
        <v>361.00300994034751</v>
      </c>
      <c r="F48" s="17" t="s">
        <v>57</v>
      </c>
      <c r="G48" s="14" t="str">
        <f t="shared" si="4"/>
        <v>47761.543</v>
      </c>
      <c r="H48" s="10">
        <f t="shared" si="5"/>
        <v>361</v>
      </c>
      <c r="I48" s="42" t="s">
        <v>187</v>
      </c>
      <c r="J48" s="43" t="s">
        <v>188</v>
      </c>
      <c r="K48" s="42">
        <v>361</v>
      </c>
      <c r="L48" s="42" t="s">
        <v>189</v>
      </c>
      <c r="M48" s="43" t="s">
        <v>156</v>
      </c>
      <c r="N48" s="43"/>
      <c r="O48" s="44" t="s">
        <v>185</v>
      </c>
      <c r="P48" s="44" t="s">
        <v>190</v>
      </c>
    </row>
    <row r="49" spans="2:6">
      <c r="B49" s="17"/>
      <c r="F49" s="17"/>
    </row>
    <row r="50" spans="2:6">
      <c r="B50" s="17"/>
      <c r="F50" s="17"/>
    </row>
    <row r="51" spans="2:6">
      <c r="B51" s="17"/>
      <c r="F51" s="17"/>
    </row>
    <row r="52" spans="2:6">
      <c r="B52" s="17"/>
      <c r="F52" s="17"/>
    </row>
    <row r="53" spans="2:6">
      <c r="B53" s="17"/>
      <c r="F53" s="17"/>
    </row>
    <row r="54" spans="2:6">
      <c r="B54" s="17"/>
      <c r="F54" s="17"/>
    </row>
    <row r="55" spans="2:6">
      <c r="B55" s="17"/>
      <c r="F55" s="17"/>
    </row>
    <row r="56" spans="2:6">
      <c r="B56" s="17"/>
      <c r="F56" s="17"/>
    </row>
    <row r="57" spans="2:6">
      <c r="B57" s="17"/>
      <c r="F57" s="17"/>
    </row>
    <row r="58" spans="2:6">
      <c r="B58" s="17"/>
      <c r="F58" s="17"/>
    </row>
    <row r="59" spans="2:6">
      <c r="B59" s="17"/>
      <c r="F59" s="17"/>
    </row>
    <row r="60" spans="2:6">
      <c r="B60" s="17"/>
      <c r="F60" s="17"/>
    </row>
    <row r="61" spans="2:6">
      <c r="B61" s="17"/>
      <c r="F61" s="17"/>
    </row>
    <row r="62" spans="2:6">
      <c r="B62" s="17"/>
      <c r="F62" s="17"/>
    </row>
    <row r="63" spans="2:6">
      <c r="B63" s="17"/>
      <c r="F63" s="17"/>
    </row>
    <row r="64" spans="2: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</sheetData>
  <phoneticPr fontId="7" type="noConversion"/>
  <hyperlinks>
    <hyperlink ref="P16" r:id="rId1" display="http://www.bav-astro.de/sfs/BAVM_link.php?BAVMnr=17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2024-01-30T06:23:45Z</dcterms:modified>
</cp:coreProperties>
</file>