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C61912-5341-43DD-8914-02F2910A9D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C17" i="1" l="1"/>
  <c r="C21" i="1"/>
  <c r="E21" i="1"/>
  <c r="F21" i="1"/>
  <c r="E23" i="1"/>
  <c r="F23" i="1"/>
  <c r="G23" i="1"/>
  <c r="J23" i="1"/>
  <c r="E24" i="1"/>
  <c r="F24" i="1"/>
  <c r="E27" i="1"/>
  <c r="F27" i="1"/>
  <c r="G27" i="1"/>
  <c r="K27" i="1"/>
  <c r="E28" i="1"/>
  <c r="F28" i="1"/>
  <c r="E31" i="1"/>
  <c r="F31" i="1"/>
  <c r="G31" i="1"/>
  <c r="K31" i="1"/>
  <c r="E32" i="1"/>
  <c r="F32" i="1"/>
  <c r="E35" i="1"/>
  <c r="F35" i="1"/>
  <c r="G35" i="1"/>
  <c r="K35" i="1"/>
  <c r="E36" i="1"/>
  <c r="F36" i="1"/>
  <c r="E39" i="1"/>
  <c r="F39" i="1"/>
  <c r="G39" i="1"/>
  <c r="K39" i="1"/>
  <c r="E40" i="1"/>
  <c r="F40" i="1"/>
  <c r="D9" i="1"/>
  <c r="C9" i="1"/>
  <c r="F16" i="1"/>
  <c r="F17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G31" i="3"/>
  <c r="C31" i="3"/>
  <c r="G30" i="3"/>
  <c r="C30" i="3"/>
  <c r="G29" i="3"/>
  <c r="C29" i="3"/>
  <c r="E29" i="3"/>
  <c r="G28" i="3"/>
  <c r="C28" i="3"/>
  <c r="E28" i="3"/>
  <c r="G27" i="3"/>
  <c r="C27" i="3"/>
  <c r="G26" i="3"/>
  <c r="C26" i="3"/>
  <c r="G25" i="3"/>
  <c r="C25" i="3"/>
  <c r="E25" i="3"/>
  <c r="G24" i="3"/>
  <c r="C24" i="3"/>
  <c r="E24" i="3"/>
  <c r="G23" i="3"/>
  <c r="C23" i="3"/>
  <c r="G22" i="3"/>
  <c r="C22" i="3"/>
  <c r="G21" i="3"/>
  <c r="C21" i="3"/>
  <c r="E21" i="3"/>
  <c r="G20" i="3"/>
  <c r="C20" i="3"/>
  <c r="E20" i="3"/>
  <c r="G19" i="3"/>
  <c r="C19" i="3"/>
  <c r="G18" i="3"/>
  <c r="C18" i="3"/>
  <c r="G17" i="3"/>
  <c r="C17" i="3"/>
  <c r="E17" i="3"/>
  <c r="G16" i="3"/>
  <c r="C16" i="3"/>
  <c r="E16" i="3"/>
  <c r="G15" i="3"/>
  <c r="C15" i="3"/>
  <c r="G14" i="3"/>
  <c r="C14" i="3"/>
  <c r="G13" i="3"/>
  <c r="C13" i="3"/>
  <c r="E13" i="3"/>
  <c r="G12" i="3"/>
  <c r="C12" i="3"/>
  <c r="E12" i="3"/>
  <c r="G11" i="3"/>
  <c r="C11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E26" i="2"/>
  <c r="F26" i="2"/>
  <c r="E23" i="2"/>
  <c r="F23" i="2"/>
  <c r="E27" i="2"/>
  <c r="F27" i="2"/>
  <c r="G27" i="2"/>
  <c r="I27" i="2"/>
  <c r="E28" i="2"/>
  <c r="F28" i="2"/>
  <c r="F11" i="2"/>
  <c r="Q25" i="2"/>
  <c r="Q26" i="2"/>
  <c r="Q30" i="2"/>
  <c r="Q28" i="2"/>
  <c r="Q29" i="2"/>
  <c r="Q24" i="2"/>
  <c r="Q27" i="2"/>
  <c r="G11" i="2"/>
  <c r="E14" i="2"/>
  <c r="C17" i="2"/>
  <c r="C7" i="2"/>
  <c r="G26" i="2"/>
  <c r="I26" i="2"/>
  <c r="C8" i="2"/>
  <c r="C21" i="2"/>
  <c r="E21" i="2"/>
  <c r="F21" i="2"/>
  <c r="Q21" i="2"/>
  <c r="Q22" i="2"/>
  <c r="Q23" i="2"/>
  <c r="Q22" i="1"/>
  <c r="Q23" i="1"/>
  <c r="C7" i="1"/>
  <c r="G24" i="1"/>
  <c r="K24" i="1"/>
  <c r="C8" i="1"/>
  <c r="C18" i="1"/>
  <c r="Q21" i="1"/>
  <c r="E19" i="3"/>
  <c r="E15" i="3"/>
  <c r="E30" i="3"/>
  <c r="E31" i="3"/>
  <c r="E14" i="3"/>
  <c r="G42" i="1"/>
  <c r="K42" i="1"/>
  <c r="G30" i="1"/>
  <c r="K30" i="1"/>
  <c r="G26" i="1"/>
  <c r="K26" i="1"/>
  <c r="E42" i="1"/>
  <c r="F42" i="1"/>
  <c r="E38" i="1"/>
  <c r="F38" i="1"/>
  <c r="G38" i="1"/>
  <c r="K38" i="1"/>
  <c r="E34" i="1"/>
  <c r="F34" i="1"/>
  <c r="G34" i="1"/>
  <c r="K34" i="1"/>
  <c r="E30" i="1"/>
  <c r="F30" i="1"/>
  <c r="E26" i="1"/>
  <c r="F26" i="1"/>
  <c r="E22" i="1"/>
  <c r="E22" i="2"/>
  <c r="F22" i="2"/>
  <c r="G22" i="2"/>
  <c r="E29" i="2"/>
  <c r="F29" i="2"/>
  <c r="G29" i="2"/>
  <c r="I29" i="2"/>
  <c r="E25" i="2"/>
  <c r="F25" i="2"/>
  <c r="G25" i="2"/>
  <c r="I25" i="2"/>
  <c r="G41" i="1"/>
  <c r="K41" i="1"/>
  <c r="G25" i="1"/>
  <c r="K25" i="1"/>
  <c r="G21" i="1"/>
  <c r="H21" i="1"/>
  <c r="G28" i="2"/>
  <c r="I28" i="2"/>
  <c r="E24" i="2"/>
  <c r="F24" i="2"/>
  <c r="G24" i="2"/>
  <c r="I24" i="2"/>
  <c r="E41" i="1"/>
  <c r="F41" i="1"/>
  <c r="E37" i="1"/>
  <c r="F37" i="1"/>
  <c r="G37" i="1"/>
  <c r="K37" i="1"/>
  <c r="E33" i="1"/>
  <c r="F33" i="1"/>
  <c r="G33" i="1"/>
  <c r="K33" i="1"/>
  <c r="E29" i="1"/>
  <c r="F29" i="1"/>
  <c r="G29" i="1"/>
  <c r="K29" i="1"/>
  <c r="E25" i="1"/>
  <c r="F25" i="1"/>
  <c r="E30" i="2"/>
  <c r="F30" i="2"/>
  <c r="G30" i="2"/>
  <c r="I30" i="2"/>
  <c r="G23" i="2"/>
  <c r="I23" i="2"/>
  <c r="G40" i="1"/>
  <c r="K40" i="1"/>
  <c r="G36" i="1"/>
  <c r="K36" i="1"/>
  <c r="G32" i="1"/>
  <c r="K32" i="1"/>
  <c r="G28" i="1"/>
  <c r="K28" i="1"/>
  <c r="E23" i="3"/>
  <c r="E11" i="3"/>
  <c r="F22" i="1"/>
  <c r="G22" i="1"/>
  <c r="E27" i="3"/>
  <c r="E22" i="3"/>
  <c r="E18" i="3"/>
  <c r="E26" i="3"/>
  <c r="I22" i="2"/>
  <c r="K22" i="1"/>
  <c r="C12" i="2"/>
  <c r="C11" i="1"/>
  <c r="C11" i="2"/>
  <c r="C12" i="1"/>
  <c r="C16" i="1" l="1"/>
  <c r="O29" i="2"/>
  <c r="O21" i="2"/>
  <c r="O24" i="2"/>
  <c r="O28" i="2"/>
  <c r="O23" i="2"/>
  <c r="O25" i="2"/>
  <c r="O26" i="2"/>
  <c r="O22" i="2"/>
  <c r="O27" i="2"/>
  <c r="C15" i="2"/>
  <c r="E16" i="2" s="1"/>
  <c r="O30" i="2"/>
  <c r="O38" i="1"/>
  <c r="O21" i="1"/>
  <c r="O37" i="1"/>
  <c r="O28" i="1"/>
  <c r="O23" i="1"/>
  <c r="O30" i="1"/>
  <c r="O26" i="1"/>
  <c r="O29" i="1"/>
  <c r="O27" i="1"/>
  <c r="O42" i="1"/>
  <c r="O31" i="1"/>
  <c r="O41" i="1"/>
  <c r="O34" i="1"/>
  <c r="O24" i="1"/>
  <c r="O32" i="1"/>
  <c r="O25" i="1"/>
  <c r="O39" i="1"/>
  <c r="O33" i="1"/>
  <c r="O35" i="1"/>
  <c r="O40" i="1"/>
  <c r="O36" i="1"/>
  <c r="O22" i="1"/>
  <c r="C16" i="2"/>
  <c r="D18" i="2" s="1"/>
  <c r="E15" i="2"/>
  <c r="C18" i="2" l="1"/>
  <c r="E17" i="2"/>
  <c r="F18" i="1"/>
  <c r="F19" i="1" s="1"/>
  <c r="D18" i="1"/>
</calcChain>
</file>

<file path=xl/sharedStrings.xml><?xml version="1.0" encoding="utf-8"?>
<sst xmlns="http://schemas.openxmlformats.org/spreadsheetml/2006/main" count="366" uniqueCount="169">
  <si>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</si>
  <si>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</si>
  <si>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</si>
  <si>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</si>
  <si>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</si>
  <si>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</si>
  <si>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</si>
  <si>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</si>
  <si>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</si>
  <si>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</si>
  <si>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</si>
  <si>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</si>
  <si>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</si>
  <si>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</si>
  <si>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</si>
  <si>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</si>
  <si>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</si>
  <si>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</si>
  <si>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</si>
  <si>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</si>
  <si>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</si>
  <si>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</si>
  <si>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</si>
  <si>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</si>
  <si>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</si>
  <si>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</si>
  <si>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</si>
  <si>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</si>
  <si>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</si>
  <si>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</si>
  <si>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</si>
  <si>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 5378</t>
  </si>
  <si>
    <t>I</t>
  </si>
  <si>
    <t>IBVS 5643</t>
  </si>
  <si>
    <t>IBVS</t>
  </si>
  <si>
    <t>EB</t>
  </si>
  <si>
    <t># of data points:</t>
  </si>
  <si>
    <t>LO Cyg / gsc 3591-2138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</si>
  <si>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</si>
  <si>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</si>
  <si>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</si>
  <si>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</si>
  <si>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</si>
  <si>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</si>
  <si>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</si>
  <si>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</si>
  <si>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</si>
  <si>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5959</t>
  </si>
  <si>
    <t>IBVS 6011</t>
  </si>
  <si>
    <t>IBVS 6042</t>
  </si>
  <si>
    <t>IBVS 6070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</si>
  <si>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</si>
  <si>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</si>
  <si>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</si>
  <si>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</si>
  <si>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</si>
  <si>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</si>
  <si>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</si>
  <si>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</si>
  <si>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</si>
  <si>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</si>
  <si>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</si>
  <si>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</si>
  <si>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</si>
  <si>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2452587.643 </t>
  </si>
  <si>
    <t> 09.11.2002 03:25 </t>
  </si>
  <si>
    <t> 0.081 </t>
  </si>
  <si>
    <t>E </t>
  </si>
  <si>
    <t>?</t>
  </si>
  <si>
    <t> S.Dvorak </t>
  </si>
  <si>
    <t>IBVS 5378 </t>
  </si>
  <si>
    <t>2452854.4269 </t>
  </si>
  <si>
    <t> 02.08.2003 22:14 </t>
  </si>
  <si>
    <t> 0.0710 </t>
  </si>
  <si>
    <t>-I</t>
  </si>
  <si>
    <t> F.Agerer </t>
  </si>
  <si>
    <t>BAVM 172 </t>
  </si>
  <si>
    <t>2454356.3690 </t>
  </si>
  <si>
    <t> 12.09.2007 20:51 </t>
  </si>
  <si>
    <t>44640</t>
  </si>
  <si>
    <t> 0.0361 </t>
  </si>
  <si>
    <t>C </t>
  </si>
  <si>
    <t>o</t>
  </si>
  <si>
    <t> U.Schmidt </t>
  </si>
  <si>
    <t>BAVM 193 </t>
  </si>
  <si>
    <t>2454360.4501 </t>
  </si>
  <si>
    <t> 16.09.2007 22:48 </t>
  </si>
  <si>
    <t>44646.5</t>
  </si>
  <si>
    <t> 0.0271 </t>
  </si>
  <si>
    <t>2454366.4243 </t>
  </si>
  <si>
    <t> 22.09.2007 22:10 </t>
  </si>
  <si>
    <t>44656</t>
  </si>
  <si>
    <t> 0.0236 </t>
  </si>
  <si>
    <t> H.Jungbluth </t>
  </si>
  <si>
    <t>2454367.3725 </t>
  </si>
  <si>
    <t> 23.09.2007 20:56 </t>
  </si>
  <si>
    <t>44657.5</t>
  </si>
  <si>
    <t> 0.0280 </t>
  </si>
  <si>
    <t>2454378.3580 </t>
  </si>
  <si>
    <t> 04.10.2007 20:35 </t>
  </si>
  <si>
    <t>44675</t>
  </si>
  <si>
    <t> 0.0019 </t>
  </si>
  <si>
    <t>2454382.4737 </t>
  </si>
  <si>
    <t> 08.10.2007 23:22 </t>
  </si>
  <si>
    <t>44681.5</t>
  </si>
  <si>
    <t> 0.0276 </t>
  </si>
  <si>
    <t>2454737.3485 </t>
  </si>
  <si>
    <t> 27.09.2008 20:21 </t>
  </si>
  <si>
    <t>45245.5</t>
  </si>
  <si>
    <t> 0.0155 </t>
  </si>
  <si>
    <t>BAVM 203 </t>
  </si>
  <si>
    <t>2454760.3172 </t>
  </si>
  <si>
    <t> 20.10.2008 19:36 </t>
  </si>
  <si>
    <t>45282</t>
  </si>
  <si>
    <t> 0.0172 </t>
  </si>
  <si>
    <t>2455027.4156 </t>
  </si>
  <si>
    <t> 14.07.2009 21:58 </t>
  </si>
  <si>
    <t>45706.5</t>
  </si>
  <si>
    <t> 0.0066 </t>
  </si>
  <si>
    <t>BAVM 212 </t>
  </si>
  <si>
    <t>2455032.4491 </t>
  </si>
  <si>
    <t> 19.07.2009 22:46 </t>
  </si>
  <si>
    <t>45714.5</t>
  </si>
  <si>
    <t> 0.0063 </t>
  </si>
  <si>
    <t>2455042.5176 </t>
  </si>
  <si>
    <t> 30.07.2009 00:25 </t>
  </si>
  <si>
    <t>45730.5</t>
  </si>
  <si>
    <t> 0.0071 </t>
  </si>
  <si>
    <t>2455083.4166 </t>
  </si>
  <si>
    <t> 08.09.2009 21:59 </t>
  </si>
  <si>
    <t>45795.5</t>
  </si>
  <si>
    <t> 0.0060 </t>
  </si>
  <si>
    <t>2455357.4415 </t>
  </si>
  <si>
    <t> 09.06.2010 22:35 </t>
  </si>
  <si>
    <t>46231</t>
  </si>
  <si>
    <t> 0.0003 </t>
  </si>
  <si>
    <t>BAVM 214 </t>
  </si>
  <si>
    <t>2455391.4164 </t>
  </si>
  <si>
    <t> 13.07.2010 21:59 </t>
  </si>
  <si>
    <t>46285</t>
  </si>
  <si>
    <t> -0.0033 </t>
  </si>
  <si>
    <t>BAVM 215 </t>
  </si>
  <si>
    <t>2455397.3926 </t>
  </si>
  <si>
    <t> 19.07.2010 21:25 </t>
  </si>
  <si>
    <t>46294.5</t>
  </si>
  <si>
    <t> -0.0049 </t>
  </si>
  <si>
    <t>2455852.6089 </t>
  </si>
  <si>
    <t> 18.10.2011 02:36 </t>
  </si>
  <si>
    <t>47018</t>
  </si>
  <si>
    <t> -0.0380 </t>
  </si>
  <si>
    <t> R.Diethelm </t>
  </si>
  <si>
    <t>IBVS 6011 </t>
  </si>
  <si>
    <t>2456187.3732 </t>
  </si>
  <si>
    <t> 16.09.2012 20:57 </t>
  </si>
  <si>
    <t>47550</t>
  </si>
  <si>
    <t> -0.0252 </t>
  </si>
  <si>
    <t>BAVM 231 </t>
  </si>
  <si>
    <t>2456203.7214 </t>
  </si>
  <si>
    <t> 03.10.2012 05:18 </t>
  </si>
  <si>
    <t>47576</t>
  </si>
  <si>
    <t> -0.0370 </t>
  </si>
  <si>
    <t>IBVS 6042 </t>
  </si>
  <si>
    <t>2456891.4480 </t>
  </si>
  <si>
    <t> 21.08.2014 22:45 </t>
  </si>
  <si>
    <t>48669</t>
  </si>
  <si>
    <t> -0.0611 </t>
  </si>
  <si>
    <t>BAVM 238 </t>
  </si>
  <si>
    <t>II</t>
  </si>
  <si>
    <t>LO Cyg / Gsc 3591-2138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</si>
</sst>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/>
    </xf>
    <xf numFmtId="0" fontId="17" fillId="3" borderId="0" xfId="0" applyFont="1" applyFill="1" applyAlignment="1"/>
    <xf numFmtId="0" fontId="9" fillId="4" borderId="0" xfId="0" applyFont="1" applyFill="1" applyAlignment="1"/>
    <xf numFmtId="0" fontId="13" fillId="0" borderId="0" xfId="0" applyFont="1" applyAlignment="1">
      <alignment horizontal="right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Cyg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0.31461605000004056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7-4FBF-BB99-E1E9B46D43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7-4FBF-BB99-E1E9B46D43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-0.55825339999864809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37-4FBF-BB99-E1E9B46D43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-0.54774300000281073</c:v>
                </c:pt>
                <c:pt idx="3">
                  <c:v>-0.59317610000289278</c:v>
                </c:pt>
                <c:pt idx="4">
                  <c:v>-0.60208474999672035</c:v>
                </c:pt>
                <c:pt idx="5">
                  <c:v>-0.60558970000420231</c:v>
                </c:pt>
                <c:pt idx="6">
                  <c:v>-0.60123785000178032</c:v>
                </c:pt>
                <c:pt idx="7">
                  <c:v>-0.62729959999705898</c:v>
                </c:pt>
                <c:pt idx="8">
                  <c:v>-0.60160824999911711</c:v>
                </c:pt>
                <c:pt idx="9">
                  <c:v>-0.61371265000343556</c:v>
                </c:pt>
                <c:pt idx="10">
                  <c:v>-0.61198429999785731</c:v>
                </c:pt>
                <c:pt idx="11">
                  <c:v>-0.62261074999696575</c:v>
                </c:pt>
                <c:pt idx="12">
                  <c:v>-0.6229675499998848</c:v>
                </c:pt>
                <c:pt idx="13">
                  <c:v>-0.62218114999996033</c:v>
                </c:pt>
                <c:pt idx="14">
                  <c:v>-0.62326765000034356</c:v>
                </c:pt>
                <c:pt idx="15">
                  <c:v>-0.62894719999894733</c:v>
                </c:pt>
                <c:pt idx="16">
                  <c:v>-0.63258059999498073</c:v>
                </c:pt>
                <c:pt idx="17">
                  <c:v>-0.63408554999477929</c:v>
                </c:pt>
                <c:pt idx="18">
                  <c:v>-0.66720989999885205</c:v>
                </c:pt>
                <c:pt idx="19">
                  <c:v>-0.65438709999580169</c:v>
                </c:pt>
                <c:pt idx="20">
                  <c:v>-0.66622169999754988</c:v>
                </c:pt>
                <c:pt idx="21">
                  <c:v>-0.69030700000439538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7-4FBF-BB99-E1E9B46D43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37-4FBF-BB99-E1E9B46D43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7-4FBF-BB99-E1E9B46D43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37-4FBF-BB99-E1E9B46D43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41830</c:v>
                </c:pt>
                <c:pt idx="2">
                  <c:v>42254</c:v>
                </c:pt>
                <c:pt idx="3">
                  <c:v>44641</c:v>
                </c:pt>
                <c:pt idx="4">
                  <c:v>44647.5</c:v>
                </c:pt>
                <c:pt idx="5">
                  <c:v>44657</c:v>
                </c:pt>
                <c:pt idx="6">
                  <c:v>44658.5</c:v>
                </c:pt>
                <c:pt idx="7">
                  <c:v>44676</c:v>
                </c:pt>
                <c:pt idx="8">
                  <c:v>44682.5</c:v>
                </c:pt>
                <c:pt idx="9">
                  <c:v>45246.5</c:v>
                </c:pt>
                <c:pt idx="10">
                  <c:v>45283</c:v>
                </c:pt>
                <c:pt idx="11">
                  <c:v>45707.5</c:v>
                </c:pt>
                <c:pt idx="12">
                  <c:v>45715.5</c:v>
                </c:pt>
                <c:pt idx="13">
                  <c:v>45731.5</c:v>
                </c:pt>
                <c:pt idx="14">
                  <c:v>45796.5</c:v>
                </c:pt>
                <c:pt idx="15">
                  <c:v>46232</c:v>
                </c:pt>
                <c:pt idx="16">
                  <c:v>46286</c:v>
                </c:pt>
                <c:pt idx="17">
                  <c:v>46295.5</c:v>
                </c:pt>
                <c:pt idx="18">
                  <c:v>47019</c:v>
                </c:pt>
                <c:pt idx="19">
                  <c:v>47551</c:v>
                </c:pt>
                <c:pt idx="20">
                  <c:v>47577</c:v>
                </c:pt>
                <c:pt idx="21">
                  <c:v>48670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0.29912028937965041</c:v>
                </c:pt>
                <c:pt idx="1">
                  <c:v>-0.54649468548616942</c:v>
                </c:pt>
                <c:pt idx="2">
                  <c:v>-0.55506596121424123</c:v>
                </c:pt>
                <c:pt idx="3">
                  <c:v>-0.60331981773053223</c:v>
                </c:pt>
                <c:pt idx="4">
                  <c:v>-0.60345121700466542</c:v>
                </c:pt>
                <c:pt idx="5">
                  <c:v>-0.60364326209762931</c:v>
                </c:pt>
                <c:pt idx="6">
                  <c:v>-0.6036735850070446</c:v>
                </c:pt>
                <c:pt idx="7">
                  <c:v>-0.60402735228355697</c:v>
                </c:pt>
                <c:pt idx="8">
                  <c:v>-0.60415875155769017</c:v>
                </c:pt>
                <c:pt idx="9">
                  <c:v>-0.61556016549786119</c:v>
                </c:pt>
                <c:pt idx="10">
                  <c:v>-0.61629802296030134</c:v>
                </c:pt>
                <c:pt idx="11">
                  <c:v>-0.62487940632484495</c:v>
                </c:pt>
                <c:pt idx="12">
                  <c:v>-0.62504112850839344</c:v>
                </c:pt>
                <c:pt idx="13">
                  <c:v>-0.62536457287549052</c:v>
                </c:pt>
                <c:pt idx="14">
                  <c:v>-0.62667856561682223</c:v>
                </c:pt>
                <c:pt idx="15">
                  <c:v>-0.63548231698374502</c:v>
                </c:pt>
                <c:pt idx="16">
                  <c:v>-0.63657394172269754</c:v>
                </c:pt>
                <c:pt idx="17">
                  <c:v>-0.63676598681566143</c:v>
                </c:pt>
                <c:pt idx="18">
                  <c:v>-0.65139173679033113</c:v>
                </c:pt>
                <c:pt idx="19">
                  <c:v>-0.66214626199630799</c:v>
                </c:pt>
                <c:pt idx="20">
                  <c:v>-0.66267185909284076</c:v>
                </c:pt>
                <c:pt idx="21">
                  <c:v>-0.68476715242015795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7-4FBF-BB99-E1E9B46D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07120"/>
        <c:axId val="1"/>
      </c:scatterChart>
      <c:valAx>
        <c:axId val="39890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90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Cyg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F-466C-A8A1-F4FEB4678E3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8.1489099997270387E-2</c:v>
                </c:pt>
                <c:pt idx="2">
                  <c:v>7.0978700001433026E-2</c:v>
                </c:pt>
                <c:pt idx="3">
                  <c:v>2.849000011337921E-4</c:v>
                </c:pt>
                <c:pt idx="4">
                  <c:v>-3.3484999948996119E-3</c:v>
                </c:pt>
                <c:pt idx="5">
                  <c:v>-4.8534500019741245E-3</c:v>
                </c:pt>
                <c:pt idx="6">
                  <c:v>-3.7977799998770934E-2</c:v>
                </c:pt>
                <c:pt idx="7">
                  <c:v>-2.5154999995720573E-2</c:v>
                </c:pt>
                <c:pt idx="8">
                  <c:v>-3.6989599997468758E-2</c:v>
                </c:pt>
                <c:pt idx="9">
                  <c:v>-6.1074899997038301E-2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F-466C-A8A1-F4FEB4678E3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BF-466C-A8A1-F4FEB4678E3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BF-466C-A8A1-F4FEB4678E3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BF-466C-A8A1-F4FEB4678E3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BF-466C-A8A1-F4FEB4678E3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BF-466C-A8A1-F4FEB4678E3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0.93165289143133911</c:v>
                </c:pt>
                <c:pt idx="1">
                  <c:v>8.2190441208900289E-2</c:v>
                </c:pt>
                <c:pt idx="2">
                  <c:v>7.3579858147045707E-2</c:v>
                </c:pt>
                <c:pt idx="3">
                  <c:v>-7.2052819945991331E-3</c:v>
                </c:pt>
                <c:pt idx="4">
                  <c:v>-8.3019128562503708E-3</c:v>
                </c:pt>
                <c:pt idx="5">
                  <c:v>-8.4948386559853262E-3</c:v>
                </c:pt>
                <c:pt idx="6">
                  <c:v>-2.3187661404220683E-2</c:v>
                </c:pt>
                <c:pt idx="7">
                  <c:v>-3.399150618937774E-2</c:v>
                </c:pt>
                <c:pt idx="8">
                  <c:v>-3.4519513641283917E-2</c:v>
                </c:pt>
                <c:pt idx="9">
                  <c:v>-5.6716134600262813E-2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BF-466C-A8A1-F4FEB4678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07840"/>
        <c:axId val="1"/>
      </c:scatterChart>
      <c:valAx>
        <c:axId val="398907840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9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Cyg - O-C Diagr.</a:t>
            </a:r>
          </a:p>
        </c:rich>
      </c:tx>
      <c:layout>
        <c:manualLayout>
          <c:xMode val="edge"/>
          <c:yMode val="edge"/>
          <c:x val="0.3758064516129032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0-4B8F-BC4E-E85C803BCCE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8.1489099997270387E-2</c:v>
                </c:pt>
                <c:pt idx="2">
                  <c:v>7.0978700001433026E-2</c:v>
                </c:pt>
                <c:pt idx="3">
                  <c:v>2.849000011337921E-4</c:v>
                </c:pt>
                <c:pt idx="4">
                  <c:v>-3.3484999948996119E-3</c:v>
                </c:pt>
                <c:pt idx="5">
                  <c:v>-4.8534500019741245E-3</c:v>
                </c:pt>
                <c:pt idx="6">
                  <c:v>-3.7977799998770934E-2</c:v>
                </c:pt>
                <c:pt idx="7">
                  <c:v>-2.5154999995720573E-2</c:v>
                </c:pt>
                <c:pt idx="8">
                  <c:v>-3.6989599997468758E-2</c:v>
                </c:pt>
                <c:pt idx="9">
                  <c:v>-6.1074899997038301E-2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0-4B8F-BC4E-E85C803BCCE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70-4B8F-BC4E-E85C803BCCE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0-4B8F-BC4E-E85C803BCCE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70-4B8F-BC4E-E85C803BCCE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70-4B8F-BC4E-E85C803BCCE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1.6000000000000001E-3</c:v>
                  </c:pt>
                  <c:pt idx="4">
                    <c:v>2.7000000000000001E-3</c:v>
                  </c:pt>
                  <c:pt idx="5">
                    <c:v>3.2000000000000002E-3</c:v>
                  </c:pt>
                  <c:pt idx="6">
                    <c:v>2.2000000000000001E-3</c:v>
                  </c:pt>
                  <c:pt idx="7">
                    <c:v>6.7999999999999996E-3</c:v>
                  </c:pt>
                  <c:pt idx="8">
                    <c:v>1.2000000000000002E-4</c:v>
                  </c:pt>
                  <c:pt idx="9">
                    <c:v>7.7000000000000002E-3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70-4B8F-BC4E-E85C803BCCE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41829</c:v>
                </c:pt>
                <c:pt idx="2">
                  <c:v>42253</c:v>
                </c:pt>
                <c:pt idx="3">
                  <c:v>46231</c:v>
                </c:pt>
                <c:pt idx="4">
                  <c:v>46285</c:v>
                </c:pt>
                <c:pt idx="5">
                  <c:v>46294.5</c:v>
                </c:pt>
                <c:pt idx="6">
                  <c:v>47018</c:v>
                </c:pt>
                <c:pt idx="7">
                  <c:v>47550</c:v>
                </c:pt>
                <c:pt idx="8">
                  <c:v>47576</c:v>
                </c:pt>
                <c:pt idx="9">
                  <c:v>48669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0.93165289143133911</c:v>
                </c:pt>
                <c:pt idx="1">
                  <c:v>8.2190441208900289E-2</c:v>
                </c:pt>
                <c:pt idx="2">
                  <c:v>7.3579858147045707E-2</c:v>
                </c:pt>
                <c:pt idx="3">
                  <c:v>-7.2052819945991331E-3</c:v>
                </c:pt>
                <c:pt idx="4">
                  <c:v>-8.3019128562503708E-3</c:v>
                </c:pt>
                <c:pt idx="5">
                  <c:v>-8.4948386559853262E-3</c:v>
                </c:pt>
                <c:pt idx="6">
                  <c:v>-2.3187661404220683E-2</c:v>
                </c:pt>
                <c:pt idx="7">
                  <c:v>-3.399150618937774E-2</c:v>
                </c:pt>
                <c:pt idx="8">
                  <c:v>-3.4519513641283917E-2</c:v>
                </c:pt>
                <c:pt idx="9">
                  <c:v>-5.6716134600262813E-2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70-4B8F-BC4E-E85C803B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404544"/>
        <c:axId val="1"/>
      </c:scatterChart>
      <c:valAx>
        <c:axId val="58740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40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25806451612903"/>
          <c:y val="0.91950464396284826"/>
          <c:w val="0.7225806451612902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16</xdr:col>
      <xdr:colOff>419100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698A2B-3902-4AFE-BE41-B64C30201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15</xdr:col>
      <xdr:colOff>304800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B3DDAF8-7831-C13A-2369-FC6778E3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3F38EEF3-2BAF-0BD5-D3E7-0AF12B950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2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93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03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9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168</v>
      </c>
    </row>
    <row r="2" spans="1:6" x14ac:dyDescent="0.2">
      <c r="A2" t="s">
        <v>26</v>
      </c>
      <c r="B2" s="16" t="s">
        <v>35</v>
      </c>
    </row>
    <row r="4" spans="1:6" x14ac:dyDescent="0.2">
      <c r="A4" s="8" t="s">
        <v>0</v>
      </c>
      <c r="C4" s="3">
        <v>26267.412</v>
      </c>
      <c r="D4" s="4">
        <v>0.62923209999999996</v>
      </c>
    </row>
    <row r="5" spans="1:6" x14ac:dyDescent="0.2">
      <c r="A5" s="67" t="s">
        <v>38</v>
      </c>
      <c r="B5" s="16"/>
      <c r="C5" s="72">
        <v>-9.5</v>
      </c>
      <c r="D5" s="68" t="s">
        <v>39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26267.412</v>
      </c>
    </row>
    <row r="8" spans="1:6" x14ac:dyDescent="0.2">
      <c r="A8" t="s">
        <v>3</v>
      </c>
      <c r="C8">
        <f>+D4</f>
        <v>0.62923209999999996</v>
      </c>
    </row>
    <row r="9" spans="1:6" x14ac:dyDescent="0.2">
      <c r="A9" s="35" t="s">
        <v>46</v>
      </c>
      <c r="B9" s="3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16</v>
      </c>
      <c r="C11" s="22">
        <f ca="1">INTERCEPT(INDIRECT($D$9):G978,INDIRECT($C$9):F978)</f>
        <v>0.2991101817431786</v>
      </c>
      <c r="D11" s="6"/>
    </row>
    <row r="12" spans="1:6" x14ac:dyDescent="0.2">
      <c r="A12" t="s">
        <v>17</v>
      </c>
      <c r="C12" s="22">
        <f ca="1">SLOPE(INDIRECT($D$9):G978,INDIRECT($C$9):F978)</f>
        <v>-2.0215272943565575E-5</v>
      </c>
      <c r="D12" s="6"/>
    </row>
    <row r="13" spans="1:6" x14ac:dyDescent="0.2">
      <c r="A13" t="s">
        <v>20</v>
      </c>
      <c r="C13" s="6" t="s">
        <v>14</v>
      </c>
      <c r="D13" s="6"/>
    </row>
    <row r="14" spans="1:6" x14ac:dyDescent="0.2">
      <c r="A14" t="s">
        <v>25</v>
      </c>
    </row>
    <row r="15" spans="1:6" x14ac:dyDescent="0.2">
      <c r="A15" s="5" t="s">
        <v>18</v>
      </c>
      <c r="C15" s="15">
        <v>52854.426899999999</v>
      </c>
      <c r="E15" s="25" t="s">
        <v>40</v>
      </c>
      <c r="F15" s="21">
        <v>1</v>
      </c>
    </row>
    <row r="16" spans="1:6" x14ac:dyDescent="0.2">
      <c r="A16" s="8" t="s">
        <v>4</v>
      </c>
      <c r="C16">
        <f ca="1">+C8+C12</f>
        <v>0.62921188472705636</v>
      </c>
      <c r="E16" s="25" t="s">
        <v>41</v>
      </c>
      <c r="F16" s="26">
        <f ca="1">NOW()+15018.5+$C$5/24</f>
        <v>60339.809668171292</v>
      </c>
    </row>
    <row r="17" spans="1:18" ht="13.5" thickBot="1" x14ac:dyDescent="0.25">
      <c r="A17" s="25" t="s">
        <v>36</v>
      </c>
      <c r="B17" s="16"/>
      <c r="C17" s="16">
        <f>COUNT(C21:C2177)</f>
        <v>22</v>
      </c>
      <c r="E17" s="25" t="s">
        <v>42</v>
      </c>
      <c r="F17" s="26">
        <f ca="1">ROUND(2*(F16-$C$7)/$C$8,0)/2+F15</f>
        <v>54150</v>
      </c>
    </row>
    <row r="18" spans="1:18" x14ac:dyDescent="0.2">
      <c r="A18" s="8" t="s">
        <v>5</v>
      </c>
      <c r="C18" s="3">
        <f>+C15</f>
        <v>52854.426899999999</v>
      </c>
      <c r="D18" s="4">
        <f ca="1">+C16</f>
        <v>0.62921188472705636</v>
      </c>
      <c r="E18" s="25" t="s">
        <v>43</v>
      </c>
      <c r="F18" s="24">
        <f ca="1">ROUND(2*(F16-$C$15)/$C$16,0)/2+F15</f>
        <v>11897.5</v>
      </c>
    </row>
    <row r="19" spans="1:18" ht="13.5" thickTop="1" x14ac:dyDescent="0.2">
      <c r="E19" s="25" t="s">
        <v>44</v>
      </c>
      <c r="F19" s="31">
        <f ca="1">+$C$15+$C$16*F18-15018.5-$C$5/24</f>
        <v>45322.371131873486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60</v>
      </c>
      <c r="I20" s="10" t="s">
        <v>63</v>
      </c>
      <c r="J20" s="10" t="s">
        <v>57</v>
      </c>
      <c r="K20" s="10" t="s">
        <v>55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8" x14ac:dyDescent="0.2">
      <c r="A21" t="s">
        <v>12</v>
      </c>
      <c r="C21" s="17">
        <f>+C4</f>
        <v>26267.412</v>
      </c>
      <c r="D21" s="17" t="s">
        <v>14</v>
      </c>
      <c r="E21">
        <f t="shared" ref="E21:E42" si="0">+(C21-C$7)/C$8</f>
        <v>0</v>
      </c>
      <c r="F21" s="71">
        <f>ROUND(2*E21,0)/2-0.5</f>
        <v>-0.5</v>
      </c>
      <c r="G21">
        <f t="shared" ref="G21:G42" si="1">+C21-(C$7+F21*C$8)</f>
        <v>0.31461605000004056</v>
      </c>
      <c r="H21">
        <f>+G21</f>
        <v>0.31461605000004056</v>
      </c>
      <c r="O21">
        <f t="shared" ref="O21:O42" ca="1" si="2">+C$11+C$12*$F21</f>
        <v>0.29912028937965041</v>
      </c>
      <c r="Q21" s="2">
        <f t="shared" ref="Q21:Q42" si="3">+C21-15018.5</f>
        <v>11248.912</v>
      </c>
    </row>
    <row r="22" spans="1:18" x14ac:dyDescent="0.2">
      <c r="A22" s="11" t="s">
        <v>31</v>
      </c>
      <c r="B22" s="12" t="s">
        <v>32</v>
      </c>
      <c r="C22" s="18">
        <v>52587.642999999996</v>
      </c>
      <c r="D22" s="19">
        <v>1E-4</v>
      </c>
      <c r="E22">
        <f t="shared" si="0"/>
        <v>41829.12950563075</v>
      </c>
      <c r="F22" s="70">
        <f>ROUND(2*E22,0)/2+1</f>
        <v>41830</v>
      </c>
      <c r="G22">
        <f t="shared" si="1"/>
        <v>-0.54774300000281073</v>
      </c>
      <c r="K22">
        <f>+G22</f>
        <v>-0.54774300000281073</v>
      </c>
      <c r="O22">
        <f t="shared" ca="1" si="2"/>
        <v>-0.54649468548616942</v>
      </c>
      <c r="Q22" s="2">
        <f t="shared" si="3"/>
        <v>37569.142999999996</v>
      </c>
      <c r="R22" t="s">
        <v>55</v>
      </c>
    </row>
    <row r="23" spans="1:18" x14ac:dyDescent="0.2">
      <c r="A23" s="13" t="s">
        <v>33</v>
      </c>
      <c r="B23" s="14"/>
      <c r="C23" s="69">
        <v>52854.426899999999</v>
      </c>
      <c r="D23" s="69">
        <v>1.1000000000000001E-3</v>
      </c>
      <c r="E23">
        <f t="shared" si="0"/>
        <v>42253.112802096395</v>
      </c>
      <c r="F23" s="70">
        <f t="shared" ref="F23:F42" si="4">ROUND(2*E23,0)/2+1</f>
        <v>42254</v>
      </c>
      <c r="G23">
        <f t="shared" si="1"/>
        <v>-0.55825339999864809</v>
      </c>
      <c r="J23">
        <f>+G23</f>
        <v>-0.55825339999864809</v>
      </c>
      <c r="O23">
        <f t="shared" ca="1" si="2"/>
        <v>-0.55506596121424123</v>
      </c>
      <c r="Q23" s="2">
        <f t="shared" si="3"/>
        <v>37835.926899999999</v>
      </c>
      <c r="R23" t="s">
        <v>57</v>
      </c>
    </row>
    <row r="24" spans="1:18" x14ac:dyDescent="0.2">
      <c r="A24" s="66" t="s">
        <v>84</v>
      </c>
      <c r="B24" s="65" t="s">
        <v>32</v>
      </c>
      <c r="C24" s="66">
        <v>54356.368999999999</v>
      </c>
      <c r="D24" s="66" t="s">
        <v>63</v>
      </c>
      <c r="E24">
        <f t="shared" si="0"/>
        <v>44640.057301590306</v>
      </c>
      <c r="F24" s="70">
        <f t="shared" si="4"/>
        <v>44641</v>
      </c>
      <c r="G24">
        <f t="shared" si="1"/>
        <v>-0.59317610000289278</v>
      </c>
      <c r="K24">
        <f t="shared" ref="K24:K42" si="5">+G24</f>
        <v>-0.59317610000289278</v>
      </c>
      <c r="O24">
        <f t="shared" ca="1" si="2"/>
        <v>-0.60331981773053223</v>
      </c>
      <c r="Q24" s="2">
        <f t="shared" si="3"/>
        <v>39337.868999999999</v>
      </c>
    </row>
    <row r="25" spans="1:18" x14ac:dyDescent="0.2">
      <c r="A25" s="66" t="s">
        <v>84</v>
      </c>
      <c r="B25" s="65" t="s">
        <v>167</v>
      </c>
      <c r="C25" s="66">
        <v>54360.450100000002</v>
      </c>
      <c r="D25" s="66" t="s">
        <v>63</v>
      </c>
      <c r="E25">
        <f t="shared" si="0"/>
        <v>44646.543143619027</v>
      </c>
      <c r="F25" s="70">
        <f t="shared" si="4"/>
        <v>44647.5</v>
      </c>
      <c r="G25">
        <f t="shared" si="1"/>
        <v>-0.60208474999672035</v>
      </c>
      <c r="K25">
        <f t="shared" si="5"/>
        <v>-0.60208474999672035</v>
      </c>
      <c r="O25">
        <f t="shared" ca="1" si="2"/>
        <v>-0.60345121700466542</v>
      </c>
      <c r="Q25" s="2">
        <f t="shared" si="3"/>
        <v>39341.950100000002</v>
      </c>
    </row>
    <row r="26" spans="1:18" x14ac:dyDescent="0.2">
      <c r="A26" s="66" t="s">
        <v>84</v>
      </c>
      <c r="B26" s="65" t="s">
        <v>32</v>
      </c>
      <c r="C26" s="66">
        <v>54366.424299999999</v>
      </c>
      <c r="D26" s="66" t="s">
        <v>63</v>
      </c>
      <c r="E26">
        <f t="shared" si="0"/>
        <v>44656.03757341687</v>
      </c>
      <c r="F26" s="70">
        <f t="shared" si="4"/>
        <v>44657</v>
      </c>
      <c r="G26">
        <f t="shared" si="1"/>
        <v>-0.60558970000420231</v>
      </c>
      <c r="K26">
        <f t="shared" si="5"/>
        <v>-0.60558970000420231</v>
      </c>
      <c r="O26">
        <f t="shared" ca="1" si="2"/>
        <v>-0.60364326209762931</v>
      </c>
      <c r="Q26" s="2">
        <f t="shared" si="3"/>
        <v>39347.924299999999</v>
      </c>
    </row>
    <row r="27" spans="1:18" x14ac:dyDescent="0.2">
      <c r="A27" s="66" t="s">
        <v>84</v>
      </c>
      <c r="B27" s="65" t="s">
        <v>167</v>
      </c>
      <c r="C27" s="66">
        <v>54367.372499999998</v>
      </c>
      <c r="D27" s="66" t="s">
        <v>63</v>
      </c>
      <c r="E27">
        <f t="shared" si="0"/>
        <v>44657.544489545275</v>
      </c>
      <c r="F27" s="70">
        <f t="shared" si="4"/>
        <v>44658.5</v>
      </c>
      <c r="G27">
        <f t="shared" si="1"/>
        <v>-0.60123785000178032</v>
      </c>
      <c r="K27">
        <f t="shared" si="5"/>
        <v>-0.60123785000178032</v>
      </c>
      <c r="O27">
        <f t="shared" ca="1" si="2"/>
        <v>-0.6036735850070446</v>
      </c>
      <c r="Q27" s="2">
        <f t="shared" si="3"/>
        <v>39348.872499999998</v>
      </c>
    </row>
    <row r="28" spans="1:18" x14ac:dyDescent="0.2">
      <c r="A28" s="66" t="s">
        <v>84</v>
      </c>
      <c r="B28" s="65" t="s">
        <v>32</v>
      </c>
      <c r="C28" s="66">
        <v>54378.358</v>
      </c>
      <c r="D28" s="66" t="s">
        <v>63</v>
      </c>
      <c r="E28">
        <f t="shared" si="0"/>
        <v>44675.003071203777</v>
      </c>
      <c r="F28" s="70">
        <f t="shared" si="4"/>
        <v>44676</v>
      </c>
      <c r="G28">
        <f t="shared" si="1"/>
        <v>-0.62729959999705898</v>
      </c>
      <c r="K28">
        <f t="shared" si="5"/>
        <v>-0.62729959999705898</v>
      </c>
      <c r="O28">
        <f t="shared" ca="1" si="2"/>
        <v>-0.60402735228355697</v>
      </c>
      <c r="Q28" s="2">
        <f t="shared" si="3"/>
        <v>39359.858</v>
      </c>
    </row>
    <row r="29" spans="1:18" x14ac:dyDescent="0.2">
      <c r="A29" s="66" t="s">
        <v>84</v>
      </c>
      <c r="B29" s="65" t="s">
        <v>167</v>
      </c>
      <c r="C29" s="66">
        <v>54382.473700000002</v>
      </c>
      <c r="D29" s="66" t="s">
        <v>63</v>
      </c>
      <c r="E29">
        <f t="shared" si="0"/>
        <v>44681.543900891265</v>
      </c>
      <c r="F29" s="70">
        <f t="shared" si="4"/>
        <v>44682.5</v>
      </c>
      <c r="G29">
        <f t="shared" si="1"/>
        <v>-0.60160824999911711</v>
      </c>
      <c r="K29">
        <f t="shared" si="5"/>
        <v>-0.60160824999911711</v>
      </c>
      <c r="O29">
        <f t="shared" ca="1" si="2"/>
        <v>-0.60415875155769017</v>
      </c>
      <c r="Q29" s="2">
        <f t="shared" si="3"/>
        <v>39363.973700000002</v>
      </c>
    </row>
    <row r="30" spans="1:18" x14ac:dyDescent="0.2">
      <c r="A30" s="66" t="s">
        <v>110</v>
      </c>
      <c r="B30" s="65" t="s">
        <v>167</v>
      </c>
      <c r="C30" s="66">
        <v>54737.3485</v>
      </c>
      <c r="D30" s="66" t="s">
        <v>63</v>
      </c>
      <c r="E30">
        <f t="shared" si="0"/>
        <v>45245.524664110431</v>
      </c>
      <c r="F30" s="70">
        <f t="shared" si="4"/>
        <v>45246.5</v>
      </c>
      <c r="G30">
        <f t="shared" si="1"/>
        <v>-0.61371265000343556</v>
      </c>
      <c r="K30">
        <f t="shared" si="5"/>
        <v>-0.61371265000343556</v>
      </c>
      <c r="O30">
        <f t="shared" ca="1" si="2"/>
        <v>-0.61556016549786119</v>
      </c>
      <c r="Q30" s="2">
        <f t="shared" si="3"/>
        <v>39718.8485</v>
      </c>
    </row>
    <row r="31" spans="1:18" x14ac:dyDescent="0.2">
      <c r="A31" s="66" t="s">
        <v>110</v>
      </c>
      <c r="B31" s="65" t="s">
        <v>32</v>
      </c>
      <c r="C31" s="66">
        <v>54760.317199999998</v>
      </c>
      <c r="D31" s="66" t="s">
        <v>63</v>
      </c>
      <c r="E31">
        <f t="shared" si="0"/>
        <v>45282.027410871124</v>
      </c>
      <c r="F31" s="70">
        <f t="shared" si="4"/>
        <v>45283</v>
      </c>
      <c r="G31">
        <f t="shared" si="1"/>
        <v>-0.61198429999785731</v>
      </c>
      <c r="K31">
        <f t="shared" si="5"/>
        <v>-0.61198429999785731</v>
      </c>
      <c r="O31">
        <f t="shared" ca="1" si="2"/>
        <v>-0.61629802296030134</v>
      </c>
      <c r="Q31" s="2">
        <f t="shared" si="3"/>
        <v>39741.817199999998</v>
      </c>
    </row>
    <row r="32" spans="1:18" x14ac:dyDescent="0.2">
      <c r="A32" s="66" t="s">
        <v>119</v>
      </c>
      <c r="B32" s="65" t="s">
        <v>167</v>
      </c>
      <c r="C32" s="66">
        <v>55027.4156</v>
      </c>
      <c r="D32" s="66" t="s">
        <v>63</v>
      </c>
      <c r="E32">
        <f t="shared" si="0"/>
        <v>45706.510522905621</v>
      </c>
      <c r="F32" s="70">
        <f t="shared" si="4"/>
        <v>45707.5</v>
      </c>
      <c r="G32">
        <f t="shared" si="1"/>
        <v>-0.62261074999696575</v>
      </c>
      <c r="K32">
        <f t="shared" si="5"/>
        <v>-0.62261074999696575</v>
      </c>
      <c r="O32">
        <f t="shared" ca="1" si="2"/>
        <v>-0.62487940632484495</v>
      </c>
      <c r="Q32" s="2">
        <f t="shared" si="3"/>
        <v>40008.9156</v>
      </c>
    </row>
    <row r="33" spans="1:17" x14ac:dyDescent="0.2">
      <c r="A33" s="66" t="s">
        <v>119</v>
      </c>
      <c r="B33" s="65" t="s">
        <v>167</v>
      </c>
      <c r="C33" s="66">
        <v>55032.449099999998</v>
      </c>
      <c r="D33" s="66" t="s">
        <v>63</v>
      </c>
      <c r="E33">
        <f t="shared" si="0"/>
        <v>45714.509955865251</v>
      </c>
      <c r="F33" s="70">
        <f t="shared" si="4"/>
        <v>45715.5</v>
      </c>
      <c r="G33">
        <f t="shared" si="1"/>
        <v>-0.6229675499998848</v>
      </c>
      <c r="K33">
        <f t="shared" si="5"/>
        <v>-0.6229675499998848</v>
      </c>
      <c r="O33">
        <f t="shared" ca="1" si="2"/>
        <v>-0.62504112850839344</v>
      </c>
      <c r="Q33" s="2">
        <f t="shared" si="3"/>
        <v>40013.949099999998</v>
      </c>
    </row>
    <row r="34" spans="1:17" x14ac:dyDescent="0.2">
      <c r="A34" s="66" t="s">
        <v>119</v>
      </c>
      <c r="B34" s="65" t="s">
        <v>167</v>
      </c>
      <c r="C34" s="66">
        <v>55042.517599999999</v>
      </c>
      <c r="D34" s="66" t="s">
        <v>63</v>
      </c>
      <c r="E34">
        <f t="shared" si="0"/>
        <v>45730.511205642564</v>
      </c>
      <c r="F34" s="70">
        <f t="shared" si="4"/>
        <v>45731.5</v>
      </c>
      <c r="G34">
        <f t="shared" si="1"/>
        <v>-0.62218114999996033</v>
      </c>
      <c r="K34">
        <f t="shared" si="5"/>
        <v>-0.62218114999996033</v>
      </c>
      <c r="O34">
        <f t="shared" ca="1" si="2"/>
        <v>-0.62536457287549052</v>
      </c>
      <c r="Q34" s="2">
        <f t="shared" si="3"/>
        <v>40024.017599999999</v>
      </c>
    </row>
    <row r="35" spans="1:17" x14ac:dyDescent="0.2">
      <c r="A35" s="66" t="s">
        <v>119</v>
      </c>
      <c r="B35" s="65" t="s">
        <v>167</v>
      </c>
      <c r="C35" s="66">
        <v>55083.416599999997</v>
      </c>
      <c r="D35" s="66" t="s">
        <v>63</v>
      </c>
      <c r="E35">
        <f t="shared" si="0"/>
        <v>45795.50947893472</v>
      </c>
      <c r="F35" s="70">
        <f t="shared" si="4"/>
        <v>45796.5</v>
      </c>
      <c r="G35">
        <f t="shared" si="1"/>
        <v>-0.62326765000034356</v>
      </c>
      <c r="K35">
        <f t="shared" si="5"/>
        <v>-0.62326765000034356</v>
      </c>
      <c r="O35">
        <f t="shared" ca="1" si="2"/>
        <v>-0.62667856561682223</v>
      </c>
      <c r="Q35" s="2">
        <f t="shared" si="3"/>
        <v>40064.916599999997</v>
      </c>
    </row>
    <row r="36" spans="1:17" x14ac:dyDescent="0.2">
      <c r="A36" s="66" t="s">
        <v>136</v>
      </c>
      <c r="B36" s="65" t="s">
        <v>32</v>
      </c>
      <c r="C36" s="66">
        <v>55357.441500000001</v>
      </c>
      <c r="D36" s="66" t="s">
        <v>63</v>
      </c>
      <c r="E36">
        <f t="shared" si="0"/>
        <v>46231.000452774104</v>
      </c>
      <c r="F36" s="70">
        <f t="shared" si="4"/>
        <v>46232</v>
      </c>
      <c r="G36">
        <f t="shared" si="1"/>
        <v>-0.62894719999894733</v>
      </c>
      <c r="K36">
        <f t="shared" si="5"/>
        <v>-0.62894719999894733</v>
      </c>
      <c r="O36">
        <f t="shared" ca="1" si="2"/>
        <v>-0.63548231698374502</v>
      </c>
      <c r="Q36" s="2">
        <f t="shared" si="3"/>
        <v>40338.941500000001</v>
      </c>
    </row>
    <row r="37" spans="1:17" x14ac:dyDescent="0.2">
      <c r="A37" s="66" t="s">
        <v>141</v>
      </c>
      <c r="B37" s="65" t="s">
        <v>32</v>
      </c>
      <c r="C37" s="66">
        <v>55391.416400000002</v>
      </c>
      <c r="D37" s="66" t="s">
        <v>63</v>
      </c>
      <c r="E37">
        <f t="shared" si="0"/>
        <v>46284.994678434246</v>
      </c>
      <c r="F37" s="70">
        <f t="shared" si="4"/>
        <v>46286</v>
      </c>
      <c r="G37">
        <f t="shared" si="1"/>
        <v>-0.63258059999498073</v>
      </c>
      <c r="K37">
        <f t="shared" si="5"/>
        <v>-0.63258059999498073</v>
      </c>
      <c r="O37">
        <f t="shared" ca="1" si="2"/>
        <v>-0.63657394172269754</v>
      </c>
      <c r="Q37" s="2">
        <f t="shared" si="3"/>
        <v>40372.916400000002</v>
      </c>
    </row>
    <row r="38" spans="1:17" x14ac:dyDescent="0.2">
      <c r="A38" s="66" t="s">
        <v>141</v>
      </c>
      <c r="B38" s="65" t="s">
        <v>167</v>
      </c>
      <c r="C38" s="66">
        <v>55397.392599999999</v>
      </c>
      <c r="D38" s="66" t="s">
        <v>63</v>
      </c>
      <c r="E38">
        <f t="shared" si="0"/>
        <v>46294.492286709465</v>
      </c>
      <c r="F38" s="70">
        <f t="shared" si="4"/>
        <v>46295.5</v>
      </c>
      <c r="G38">
        <f t="shared" si="1"/>
        <v>-0.63408554999477929</v>
      </c>
      <c r="K38">
        <f t="shared" si="5"/>
        <v>-0.63408554999477929</v>
      </c>
      <c r="O38">
        <f t="shared" ca="1" si="2"/>
        <v>-0.63676598681566143</v>
      </c>
      <c r="Q38" s="2">
        <f t="shared" si="3"/>
        <v>40378.892599999999</v>
      </c>
    </row>
    <row r="39" spans="1:17" x14ac:dyDescent="0.2">
      <c r="A39" s="66" t="s">
        <v>151</v>
      </c>
      <c r="B39" s="65" t="s">
        <v>32</v>
      </c>
      <c r="C39" s="66">
        <v>55852.608899999999</v>
      </c>
      <c r="D39" s="66" t="s">
        <v>63</v>
      </c>
      <c r="E39">
        <f t="shared" si="0"/>
        <v>47017.939644210775</v>
      </c>
      <c r="F39" s="70">
        <f t="shared" si="4"/>
        <v>47019</v>
      </c>
      <c r="G39">
        <f t="shared" si="1"/>
        <v>-0.66720989999885205</v>
      </c>
      <c r="K39">
        <f t="shared" si="5"/>
        <v>-0.66720989999885205</v>
      </c>
      <c r="O39">
        <f t="shared" ca="1" si="2"/>
        <v>-0.65139173679033113</v>
      </c>
      <c r="Q39" s="2">
        <f t="shared" si="3"/>
        <v>40834.108899999999</v>
      </c>
    </row>
    <row r="40" spans="1:17" x14ac:dyDescent="0.2">
      <c r="A40" s="66" t="s">
        <v>156</v>
      </c>
      <c r="B40" s="65" t="s">
        <v>32</v>
      </c>
      <c r="C40" s="66">
        <v>56187.373200000002</v>
      </c>
      <c r="D40" s="66" t="s">
        <v>63</v>
      </c>
      <c r="E40">
        <f t="shared" si="0"/>
        <v>47549.960022700689</v>
      </c>
      <c r="F40" s="70">
        <f t="shared" si="4"/>
        <v>47551</v>
      </c>
      <c r="G40">
        <f t="shared" si="1"/>
        <v>-0.65438709999580169</v>
      </c>
      <c r="K40">
        <f t="shared" si="5"/>
        <v>-0.65438709999580169</v>
      </c>
      <c r="O40">
        <f t="shared" ca="1" si="2"/>
        <v>-0.66214626199630799</v>
      </c>
      <c r="Q40" s="2">
        <f t="shared" si="3"/>
        <v>41168.873200000002</v>
      </c>
    </row>
    <row r="41" spans="1:17" x14ac:dyDescent="0.2">
      <c r="A41" s="66" t="s">
        <v>161</v>
      </c>
      <c r="B41" s="65" t="s">
        <v>32</v>
      </c>
      <c r="C41" s="66">
        <v>56203.721400000002</v>
      </c>
      <c r="D41" s="66" t="s">
        <v>63</v>
      </c>
      <c r="E41">
        <f t="shared" si="0"/>
        <v>47575.941214696461</v>
      </c>
      <c r="F41" s="70">
        <f t="shared" si="4"/>
        <v>47577</v>
      </c>
      <c r="G41">
        <f t="shared" si="1"/>
        <v>-0.66622169999754988</v>
      </c>
      <c r="K41">
        <f t="shared" si="5"/>
        <v>-0.66622169999754988</v>
      </c>
      <c r="O41">
        <f t="shared" ca="1" si="2"/>
        <v>-0.66267185909284076</v>
      </c>
      <c r="Q41" s="2">
        <f t="shared" si="3"/>
        <v>41185.221400000002</v>
      </c>
    </row>
    <row r="42" spans="1:17" x14ac:dyDescent="0.2">
      <c r="A42" s="66" t="s">
        <v>166</v>
      </c>
      <c r="B42" s="65" t="s">
        <v>32</v>
      </c>
      <c r="C42" s="66">
        <v>56891.447999999997</v>
      </c>
      <c r="D42" s="66" t="s">
        <v>63</v>
      </c>
      <c r="E42">
        <f t="shared" si="0"/>
        <v>48668.902937405765</v>
      </c>
      <c r="F42" s="70">
        <f t="shared" si="4"/>
        <v>48670</v>
      </c>
      <c r="G42">
        <f t="shared" si="1"/>
        <v>-0.69030700000439538</v>
      </c>
      <c r="K42">
        <f t="shared" si="5"/>
        <v>-0.69030700000439538</v>
      </c>
      <c r="O42">
        <f t="shared" ca="1" si="2"/>
        <v>-0.68476715242015795</v>
      </c>
      <c r="Q42" s="2">
        <f t="shared" si="3"/>
        <v>41872.947999999997</v>
      </c>
    </row>
    <row r="43" spans="1:17" x14ac:dyDescent="0.2">
      <c r="B43" s="6"/>
      <c r="D43" s="6"/>
    </row>
    <row r="44" spans="1:17" x14ac:dyDescent="0.2">
      <c r="B44" s="6"/>
      <c r="D44" s="6"/>
    </row>
    <row r="45" spans="1:17" x14ac:dyDescent="0.2">
      <c r="B45" s="6"/>
      <c r="D45" s="6"/>
    </row>
    <row r="46" spans="1:17" x14ac:dyDescent="0.2">
      <c r="B46" s="6"/>
      <c r="D46" s="6"/>
    </row>
    <row r="47" spans="1:17" x14ac:dyDescent="0.2">
      <c r="B47" s="6"/>
      <c r="D47" s="6"/>
    </row>
    <row r="48" spans="1:17" x14ac:dyDescent="0.2">
      <c r="B48" s="6"/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topLeftCell="A8" workbookViewId="0">
      <selection activeCell="A13" sqref="A13:D31"/>
    </sheetView>
  </sheetViews>
  <sheetFormatPr defaultRowHeight="12.75" x14ac:dyDescent="0.2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2" t="s">
        <v>53</v>
      </c>
      <c r="I1" s="53" t="s">
        <v>54</v>
      </c>
      <c r="J1" s="54" t="s">
        <v>55</v>
      </c>
    </row>
    <row r="2" spans="1:16" x14ac:dyDescent="0.2">
      <c r="I2" s="55" t="s">
        <v>56</v>
      </c>
      <c r="J2" s="56" t="s">
        <v>57</v>
      </c>
    </row>
    <row r="3" spans="1:16" x14ac:dyDescent="0.2">
      <c r="A3" s="57" t="s">
        <v>58</v>
      </c>
      <c r="I3" s="55" t="s">
        <v>59</v>
      </c>
      <c r="J3" s="56" t="s">
        <v>60</v>
      </c>
    </row>
    <row r="4" spans="1:16" x14ac:dyDescent="0.2">
      <c r="I4" s="55" t="s">
        <v>61</v>
      </c>
      <c r="J4" s="56" t="s">
        <v>60</v>
      </c>
    </row>
    <row r="5" spans="1:16" ht="13.5" thickBot="1" x14ac:dyDescent="0.25">
      <c r="I5" s="58" t="s">
        <v>62</v>
      </c>
      <c r="J5" s="59" t="s">
        <v>63</v>
      </c>
    </row>
    <row r="10" spans="1:16" ht="13.5" thickBot="1" x14ac:dyDescent="0.25"/>
    <row r="11" spans="1:16" ht="12.75" customHeight="1" thickBot="1" x14ac:dyDescent="0.25">
      <c r="A11" s="17" t="str">
        <f t="shared" ref="A11:A31" si="0">P11</f>
        <v>IBVS 5378 </v>
      </c>
      <c r="B11" s="6" t="str">
        <f t="shared" ref="B11:B31" si="1">IF(H11=INT(H11),"I","II")</f>
        <v>I</v>
      </c>
      <c r="C11" s="17">
        <f t="shared" ref="C11:C31" si="2">1*G11</f>
        <v>52587.642999999996</v>
      </c>
      <c r="D11" s="16" t="str">
        <f t="shared" ref="D11:D31" si="3">VLOOKUP(F11,I$1:J$5,2,FALSE)</f>
        <v>vis</v>
      </c>
      <c r="E11" s="60">
        <f>VLOOKUP(C11,Active!C$21:E$973,3,FALSE)</f>
        <v>41829.12950563075</v>
      </c>
      <c r="F11" s="6" t="s">
        <v>62</v>
      </c>
      <c r="G11" s="16" t="str">
        <f t="shared" ref="G11:G31" si="4">MID(I11,3,LEN(I11)-3)</f>
        <v>52587.643</v>
      </c>
      <c r="H11" s="17">
        <f t="shared" ref="H11:H31" si="5">1*K11</f>
        <v>41829</v>
      </c>
      <c r="I11" s="61" t="s">
        <v>64</v>
      </c>
      <c r="J11" s="62" t="s">
        <v>65</v>
      </c>
      <c r="K11" s="61">
        <v>41829</v>
      </c>
      <c r="L11" s="61" t="s">
        <v>66</v>
      </c>
      <c r="M11" s="62" t="s">
        <v>67</v>
      </c>
      <c r="N11" s="62" t="s">
        <v>68</v>
      </c>
      <c r="O11" s="63" t="s">
        <v>69</v>
      </c>
      <c r="P11" s="64" t="s">
        <v>70</v>
      </c>
    </row>
    <row r="12" spans="1:16" ht="12.75" customHeight="1" thickBot="1" x14ac:dyDescent="0.25">
      <c r="A12" s="17" t="str">
        <f t="shared" si="0"/>
        <v>BAVM 172 </v>
      </c>
      <c r="B12" s="6" t="str">
        <f t="shared" si="1"/>
        <v>I</v>
      </c>
      <c r="C12" s="17">
        <f t="shared" si="2"/>
        <v>52854.426899999999</v>
      </c>
      <c r="D12" s="16" t="str">
        <f t="shared" si="3"/>
        <v>vis</v>
      </c>
      <c r="E12" s="60">
        <f>VLOOKUP(C12,Active!C$21:E$973,3,FALSE)</f>
        <v>42253.112802096395</v>
      </c>
      <c r="F12" s="6" t="s">
        <v>62</v>
      </c>
      <c r="G12" s="16" t="str">
        <f t="shared" si="4"/>
        <v>52854.4269</v>
      </c>
      <c r="H12" s="17">
        <f t="shared" si="5"/>
        <v>42253</v>
      </c>
      <c r="I12" s="61" t="s">
        <v>71</v>
      </c>
      <c r="J12" s="62" t="s">
        <v>72</v>
      </c>
      <c r="K12" s="61">
        <v>42253</v>
      </c>
      <c r="L12" s="61" t="s">
        <v>73</v>
      </c>
      <c r="M12" s="62" t="s">
        <v>67</v>
      </c>
      <c r="N12" s="62" t="s">
        <v>74</v>
      </c>
      <c r="O12" s="63" t="s">
        <v>75</v>
      </c>
      <c r="P12" s="64" t="s">
        <v>76</v>
      </c>
    </row>
    <row r="13" spans="1:16" ht="12.75" customHeight="1" thickBot="1" x14ac:dyDescent="0.25">
      <c r="A13" s="17" t="str">
        <f t="shared" si="0"/>
        <v>BAVM 193 </v>
      </c>
      <c r="B13" s="6" t="str">
        <f t="shared" si="1"/>
        <v>I</v>
      </c>
      <c r="C13" s="17">
        <f t="shared" si="2"/>
        <v>54356.368999999999</v>
      </c>
      <c r="D13" s="16" t="str">
        <f t="shared" si="3"/>
        <v>vis</v>
      </c>
      <c r="E13" s="60">
        <f>VLOOKUP(C13,Active!C$21:E$973,3,FALSE)</f>
        <v>44640.057301590306</v>
      </c>
      <c r="F13" s="6" t="s">
        <v>62</v>
      </c>
      <c r="G13" s="16" t="str">
        <f t="shared" si="4"/>
        <v>54356.3690</v>
      </c>
      <c r="H13" s="17">
        <f t="shared" si="5"/>
        <v>44640</v>
      </c>
      <c r="I13" s="61" t="s">
        <v>77</v>
      </c>
      <c r="J13" s="62" t="s">
        <v>78</v>
      </c>
      <c r="K13" s="61" t="s">
        <v>79</v>
      </c>
      <c r="L13" s="61" t="s">
        <v>80</v>
      </c>
      <c r="M13" s="62" t="s">
        <v>81</v>
      </c>
      <c r="N13" s="62" t="s">
        <v>82</v>
      </c>
      <c r="O13" s="63" t="s">
        <v>83</v>
      </c>
      <c r="P13" s="64" t="s">
        <v>84</v>
      </c>
    </row>
    <row r="14" spans="1:16" ht="12.75" customHeight="1" thickBot="1" x14ac:dyDescent="0.25">
      <c r="A14" s="17" t="str">
        <f t="shared" si="0"/>
        <v>BAVM 193 </v>
      </c>
      <c r="B14" s="6" t="str">
        <f t="shared" si="1"/>
        <v>II</v>
      </c>
      <c r="C14" s="17">
        <f t="shared" si="2"/>
        <v>54360.450100000002</v>
      </c>
      <c r="D14" s="16" t="str">
        <f t="shared" si="3"/>
        <v>vis</v>
      </c>
      <c r="E14" s="60">
        <f>VLOOKUP(C14,Active!C$21:E$973,3,FALSE)</f>
        <v>44646.543143619027</v>
      </c>
      <c r="F14" s="6" t="s">
        <v>62</v>
      </c>
      <c r="G14" s="16" t="str">
        <f t="shared" si="4"/>
        <v>54360.4501</v>
      </c>
      <c r="H14" s="17">
        <f t="shared" si="5"/>
        <v>44646.5</v>
      </c>
      <c r="I14" s="61" t="s">
        <v>85</v>
      </c>
      <c r="J14" s="62" t="s">
        <v>86</v>
      </c>
      <c r="K14" s="61" t="s">
        <v>87</v>
      </c>
      <c r="L14" s="61" t="s">
        <v>88</v>
      </c>
      <c r="M14" s="62" t="s">
        <v>81</v>
      </c>
      <c r="N14" s="62" t="s">
        <v>82</v>
      </c>
      <c r="O14" s="63" t="s">
        <v>83</v>
      </c>
      <c r="P14" s="64" t="s">
        <v>84</v>
      </c>
    </row>
    <row r="15" spans="1:16" ht="12.75" customHeight="1" thickBot="1" x14ac:dyDescent="0.25">
      <c r="A15" s="17" t="str">
        <f t="shared" si="0"/>
        <v>BAVM 193 </v>
      </c>
      <c r="B15" s="6" t="str">
        <f t="shared" si="1"/>
        <v>I</v>
      </c>
      <c r="C15" s="17">
        <f t="shared" si="2"/>
        <v>54366.424299999999</v>
      </c>
      <c r="D15" s="16" t="str">
        <f t="shared" si="3"/>
        <v>vis</v>
      </c>
      <c r="E15" s="60">
        <f>VLOOKUP(C15,Active!C$21:E$973,3,FALSE)</f>
        <v>44656.03757341687</v>
      </c>
      <c r="F15" s="6" t="s">
        <v>62</v>
      </c>
      <c r="G15" s="16" t="str">
        <f t="shared" si="4"/>
        <v>54366.4243</v>
      </c>
      <c r="H15" s="17">
        <f t="shared" si="5"/>
        <v>44656</v>
      </c>
      <c r="I15" s="61" t="s">
        <v>89</v>
      </c>
      <c r="J15" s="62" t="s">
        <v>90</v>
      </c>
      <c r="K15" s="61" t="s">
        <v>91</v>
      </c>
      <c r="L15" s="61" t="s">
        <v>92</v>
      </c>
      <c r="M15" s="62" t="s">
        <v>81</v>
      </c>
      <c r="N15" s="62" t="s">
        <v>82</v>
      </c>
      <c r="O15" s="63" t="s">
        <v>93</v>
      </c>
      <c r="P15" s="64" t="s">
        <v>84</v>
      </c>
    </row>
    <row r="16" spans="1:16" ht="12.75" customHeight="1" thickBot="1" x14ac:dyDescent="0.25">
      <c r="A16" s="17" t="str">
        <f t="shared" si="0"/>
        <v>BAVM 193 </v>
      </c>
      <c r="B16" s="6" t="str">
        <f t="shared" si="1"/>
        <v>II</v>
      </c>
      <c r="C16" s="17">
        <f t="shared" si="2"/>
        <v>54367.372499999998</v>
      </c>
      <c r="D16" s="16" t="str">
        <f t="shared" si="3"/>
        <v>vis</v>
      </c>
      <c r="E16" s="60">
        <f>VLOOKUP(C16,Active!C$21:E$973,3,FALSE)</f>
        <v>44657.544489545275</v>
      </c>
      <c r="F16" s="6" t="s">
        <v>62</v>
      </c>
      <c r="G16" s="16" t="str">
        <f t="shared" si="4"/>
        <v>54367.3725</v>
      </c>
      <c r="H16" s="17">
        <f t="shared" si="5"/>
        <v>44657.5</v>
      </c>
      <c r="I16" s="61" t="s">
        <v>94</v>
      </c>
      <c r="J16" s="62" t="s">
        <v>95</v>
      </c>
      <c r="K16" s="61" t="s">
        <v>96</v>
      </c>
      <c r="L16" s="61" t="s">
        <v>97</v>
      </c>
      <c r="M16" s="62" t="s">
        <v>81</v>
      </c>
      <c r="N16" s="62" t="s">
        <v>82</v>
      </c>
      <c r="O16" s="63" t="s">
        <v>93</v>
      </c>
      <c r="P16" s="64" t="s">
        <v>84</v>
      </c>
    </row>
    <row r="17" spans="1:16" ht="12.75" customHeight="1" thickBot="1" x14ac:dyDescent="0.25">
      <c r="A17" s="17" t="str">
        <f t="shared" si="0"/>
        <v>BAVM 193 </v>
      </c>
      <c r="B17" s="6" t="str">
        <f t="shared" si="1"/>
        <v>I</v>
      </c>
      <c r="C17" s="17">
        <f t="shared" si="2"/>
        <v>54378.358</v>
      </c>
      <c r="D17" s="16" t="str">
        <f t="shared" si="3"/>
        <v>vis</v>
      </c>
      <c r="E17" s="60">
        <f>VLOOKUP(C17,Active!C$21:E$973,3,FALSE)</f>
        <v>44675.003071203777</v>
      </c>
      <c r="F17" s="6" t="s">
        <v>62</v>
      </c>
      <c r="G17" s="16" t="str">
        <f t="shared" si="4"/>
        <v>54378.3580</v>
      </c>
      <c r="H17" s="17">
        <f t="shared" si="5"/>
        <v>44675</v>
      </c>
      <c r="I17" s="61" t="s">
        <v>98</v>
      </c>
      <c r="J17" s="62" t="s">
        <v>99</v>
      </c>
      <c r="K17" s="61" t="s">
        <v>100</v>
      </c>
      <c r="L17" s="61" t="s">
        <v>101</v>
      </c>
      <c r="M17" s="62" t="s">
        <v>81</v>
      </c>
      <c r="N17" s="62" t="s">
        <v>82</v>
      </c>
      <c r="O17" s="63" t="s">
        <v>83</v>
      </c>
      <c r="P17" s="64" t="s">
        <v>84</v>
      </c>
    </row>
    <row r="18" spans="1:16" ht="12.75" customHeight="1" thickBot="1" x14ac:dyDescent="0.25">
      <c r="A18" s="17" t="str">
        <f t="shared" si="0"/>
        <v>BAVM 193 </v>
      </c>
      <c r="B18" s="6" t="str">
        <f t="shared" si="1"/>
        <v>II</v>
      </c>
      <c r="C18" s="17">
        <f t="shared" si="2"/>
        <v>54382.473700000002</v>
      </c>
      <c r="D18" s="16" t="str">
        <f t="shared" si="3"/>
        <v>vis</v>
      </c>
      <c r="E18" s="60">
        <f>VLOOKUP(C18,Active!C$21:E$973,3,FALSE)</f>
        <v>44681.543900891265</v>
      </c>
      <c r="F18" s="6" t="s">
        <v>62</v>
      </c>
      <c r="G18" s="16" t="str">
        <f t="shared" si="4"/>
        <v>54382.4737</v>
      </c>
      <c r="H18" s="17">
        <f t="shared" si="5"/>
        <v>44681.5</v>
      </c>
      <c r="I18" s="61" t="s">
        <v>102</v>
      </c>
      <c r="J18" s="62" t="s">
        <v>103</v>
      </c>
      <c r="K18" s="61" t="s">
        <v>104</v>
      </c>
      <c r="L18" s="61" t="s">
        <v>105</v>
      </c>
      <c r="M18" s="62" t="s">
        <v>81</v>
      </c>
      <c r="N18" s="62" t="s">
        <v>82</v>
      </c>
      <c r="O18" s="63" t="s">
        <v>83</v>
      </c>
      <c r="P18" s="64" t="s">
        <v>84</v>
      </c>
    </row>
    <row r="19" spans="1:16" ht="12.75" customHeight="1" thickBot="1" x14ac:dyDescent="0.25">
      <c r="A19" s="17" t="str">
        <f t="shared" si="0"/>
        <v>BAVM 203 </v>
      </c>
      <c r="B19" s="6" t="str">
        <f t="shared" si="1"/>
        <v>II</v>
      </c>
      <c r="C19" s="17">
        <f t="shared" si="2"/>
        <v>54737.3485</v>
      </c>
      <c r="D19" s="16" t="str">
        <f t="shared" si="3"/>
        <v>vis</v>
      </c>
      <c r="E19" s="60">
        <f>VLOOKUP(C19,Active!C$21:E$973,3,FALSE)</f>
        <v>45245.524664110431</v>
      </c>
      <c r="F19" s="6" t="s">
        <v>62</v>
      </c>
      <c r="G19" s="16" t="str">
        <f t="shared" si="4"/>
        <v>54737.3485</v>
      </c>
      <c r="H19" s="17">
        <f t="shared" si="5"/>
        <v>45245.5</v>
      </c>
      <c r="I19" s="61" t="s">
        <v>106</v>
      </c>
      <c r="J19" s="62" t="s">
        <v>107</v>
      </c>
      <c r="K19" s="61" t="s">
        <v>108</v>
      </c>
      <c r="L19" s="61" t="s">
        <v>109</v>
      </c>
      <c r="M19" s="62" t="s">
        <v>81</v>
      </c>
      <c r="N19" s="62" t="s">
        <v>74</v>
      </c>
      <c r="O19" s="63" t="s">
        <v>75</v>
      </c>
      <c r="P19" s="64" t="s">
        <v>110</v>
      </c>
    </row>
    <row r="20" spans="1:16" ht="12.75" customHeight="1" thickBot="1" x14ac:dyDescent="0.25">
      <c r="A20" s="17" t="str">
        <f t="shared" si="0"/>
        <v>BAVM 203 </v>
      </c>
      <c r="B20" s="6" t="str">
        <f t="shared" si="1"/>
        <v>I</v>
      </c>
      <c r="C20" s="17">
        <f t="shared" si="2"/>
        <v>54760.317199999998</v>
      </c>
      <c r="D20" s="16" t="str">
        <f t="shared" si="3"/>
        <v>vis</v>
      </c>
      <c r="E20" s="60">
        <f>VLOOKUP(C20,Active!C$21:E$973,3,FALSE)</f>
        <v>45282.027410871124</v>
      </c>
      <c r="F20" s="6" t="s">
        <v>62</v>
      </c>
      <c r="G20" s="16" t="str">
        <f t="shared" si="4"/>
        <v>54760.3172</v>
      </c>
      <c r="H20" s="17">
        <f t="shared" si="5"/>
        <v>45282</v>
      </c>
      <c r="I20" s="61" t="s">
        <v>111</v>
      </c>
      <c r="J20" s="62" t="s">
        <v>112</v>
      </c>
      <c r="K20" s="61" t="s">
        <v>113</v>
      </c>
      <c r="L20" s="61" t="s">
        <v>114</v>
      </c>
      <c r="M20" s="62" t="s">
        <v>81</v>
      </c>
      <c r="N20" s="62" t="s">
        <v>82</v>
      </c>
      <c r="O20" s="63" t="s">
        <v>83</v>
      </c>
      <c r="P20" s="64" t="s">
        <v>110</v>
      </c>
    </row>
    <row r="21" spans="1:16" ht="12.75" customHeight="1" thickBot="1" x14ac:dyDescent="0.25">
      <c r="A21" s="17" t="str">
        <f t="shared" si="0"/>
        <v>BAVM 212 </v>
      </c>
      <c r="B21" s="6" t="str">
        <f t="shared" si="1"/>
        <v>II</v>
      </c>
      <c r="C21" s="17">
        <f t="shared" si="2"/>
        <v>55027.4156</v>
      </c>
      <c r="D21" s="16" t="str">
        <f t="shared" si="3"/>
        <v>vis</v>
      </c>
      <c r="E21" s="60">
        <f>VLOOKUP(C21,Active!C$21:E$973,3,FALSE)</f>
        <v>45706.510522905621</v>
      </c>
      <c r="F21" s="6" t="s">
        <v>62</v>
      </c>
      <c r="G21" s="16" t="str">
        <f t="shared" si="4"/>
        <v>55027.4156</v>
      </c>
      <c r="H21" s="17">
        <f t="shared" si="5"/>
        <v>45706.5</v>
      </c>
      <c r="I21" s="61" t="s">
        <v>115</v>
      </c>
      <c r="J21" s="62" t="s">
        <v>116</v>
      </c>
      <c r="K21" s="61" t="s">
        <v>117</v>
      </c>
      <c r="L21" s="61" t="s">
        <v>118</v>
      </c>
      <c r="M21" s="62" t="s">
        <v>81</v>
      </c>
      <c r="N21" s="62" t="s">
        <v>74</v>
      </c>
      <c r="O21" s="63" t="s">
        <v>75</v>
      </c>
      <c r="P21" s="64" t="s">
        <v>119</v>
      </c>
    </row>
    <row r="22" spans="1:16" ht="12.75" customHeight="1" thickBot="1" x14ac:dyDescent="0.25">
      <c r="A22" s="17" t="str">
        <f t="shared" si="0"/>
        <v>BAVM 212 </v>
      </c>
      <c r="B22" s="6" t="str">
        <f t="shared" si="1"/>
        <v>II</v>
      </c>
      <c r="C22" s="17">
        <f t="shared" si="2"/>
        <v>55032.449099999998</v>
      </c>
      <c r="D22" s="16" t="str">
        <f t="shared" si="3"/>
        <v>vis</v>
      </c>
      <c r="E22" s="60">
        <f>VLOOKUP(C22,Active!C$21:E$973,3,FALSE)</f>
        <v>45714.509955865251</v>
      </c>
      <c r="F22" s="6" t="s">
        <v>62</v>
      </c>
      <c r="G22" s="16" t="str">
        <f t="shared" si="4"/>
        <v>55032.4491</v>
      </c>
      <c r="H22" s="17">
        <f t="shared" si="5"/>
        <v>45714.5</v>
      </c>
      <c r="I22" s="61" t="s">
        <v>120</v>
      </c>
      <c r="J22" s="62" t="s">
        <v>121</v>
      </c>
      <c r="K22" s="61" t="s">
        <v>122</v>
      </c>
      <c r="L22" s="61" t="s">
        <v>123</v>
      </c>
      <c r="M22" s="62" t="s">
        <v>81</v>
      </c>
      <c r="N22" s="62" t="s">
        <v>74</v>
      </c>
      <c r="O22" s="63" t="s">
        <v>75</v>
      </c>
      <c r="P22" s="64" t="s">
        <v>119</v>
      </c>
    </row>
    <row r="23" spans="1:16" ht="12.75" customHeight="1" thickBot="1" x14ac:dyDescent="0.25">
      <c r="A23" s="17" t="str">
        <f t="shared" si="0"/>
        <v>BAVM 212 </v>
      </c>
      <c r="B23" s="6" t="str">
        <f t="shared" si="1"/>
        <v>II</v>
      </c>
      <c r="C23" s="17">
        <f t="shared" si="2"/>
        <v>55042.517599999999</v>
      </c>
      <c r="D23" s="16" t="str">
        <f t="shared" si="3"/>
        <v>vis</v>
      </c>
      <c r="E23" s="60">
        <f>VLOOKUP(C23,Active!C$21:E$973,3,FALSE)</f>
        <v>45730.511205642564</v>
      </c>
      <c r="F23" s="6" t="s">
        <v>62</v>
      </c>
      <c r="G23" s="16" t="str">
        <f t="shared" si="4"/>
        <v>55042.5176</v>
      </c>
      <c r="H23" s="17">
        <f t="shared" si="5"/>
        <v>45730.5</v>
      </c>
      <c r="I23" s="61" t="s">
        <v>124</v>
      </c>
      <c r="J23" s="62" t="s">
        <v>125</v>
      </c>
      <c r="K23" s="61" t="s">
        <v>126</v>
      </c>
      <c r="L23" s="61" t="s">
        <v>127</v>
      </c>
      <c r="M23" s="62" t="s">
        <v>81</v>
      </c>
      <c r="N23" s="62" t="s">
        <v>74</v>
      </c>
      <c r="O23" s="63" t="s">
        <v>75</v>
      </c>
      <c r="P23" s="64" t="s">
        <v>119</v>
      </c>
    </row>
    <row r="24" spans="1:16" ht="12.75" customHeight="1" thickBot="1" x14ac:dyDescent="0.25">
      <c r="A24" s="17" t="str">
        <f t="shared" si="0"/>
        <v>BAVM 212 </v>
      </c>
      <c r="B24" s="6" t="str">
        <f t="shared" si="1"/>
        <v>II</v>
      </c>
      <c r="C24" s="17">
        <f t="shared" si="2"/>
        <v>55083.416599999997</v>
      </c>
      <c r="D24" s="16" t="str">
        <f t="shared" si="3"/>
        <v>vis</v>
      </c>
      <c r="E24" s="60">
        <f>VLOOKUP(C24,Active!C$21:E$973,3,FALSE)</f>
        <v>45795.50947893472</v>
      </c>
      <c r="F24" s="6" t="s">
        <v>62</v>
      </c>
      <c r="G24" s="16" t="str">
        <f t="shared" si="4"/>
        <v>55083.4166</v>
      </c>
      <c r="H24" s="17">
        <f t="shared" si="5"/>
        <v>45795.5</v>
      </c>
      <c r="I24" s="61" t="s">
        <v>128</v>
      </c>
      <c r="J24" s="62" t="s">
        <v>129</v>
      </c>
      <c r="K24" s="61" t="s">
        <v>130</v>
      </c>
      <c r="L24" s="61" t="s">
        <v>131</v>
      </c>
      <c r="M24" s="62" t="s">
        <v>81</v>
      </c>
      <c r="N24" s="62" t="s">
        <v>74</v>
      </c>
      <c r="O24" s="63" t="s">
        <v>75</v>
      </c>
      <c r="P24" s="64" t="s">
        <v>119</v>
      </c>
    </row>
    <row r="25" spans="1:16" ht="12.75" customHeight="1" thickBot="1" x14ac:dyDescent="0.25">
      <c r="A25" s="17" t="str">
        <f t="shared" si="0"/>
        <v>BAVM 214 </v>
      </c>
      <c r="B25" s="6" t="str">
        <f t="shared" si="1"/>
        <v>I</v>
      </c>
      <c r="C25" s="17">
        <f t="shared" si="2"/>
        <v>55357.441500000001</v>
      </c>
      <c r="D25" s="16" t="str">
        <f t="shared" si="3"/>
        <v>vis</v>
      </c>
      <c r="E25" s="60">
        <f>VLOOKUP(C25,Active!C$21:E$973,3,FALSE)</f>
        <v>46231.000452774104</v>
      </c>
      <c r="F25" s="6" t="s">
        <v>62</v>
      </c>
      <c r="G25" s="16" t="str">
        <f t="shared" si="4"/>
        <v>55357.4415</v>
      </c>
      <c r="H25" s="17">
        <f t="shared" si="5"/>
        <v>46231</v>
      </c>
      <c r="I25" s="61" t="s">
        <v>132</v>
      </c>
      <c r="J25" s="62" t="s">
        <v>133</v>
      </c>
      <c r="K25" s="61" t="s">
        <v>134</v>
      </c>
      <c r="L25" s="61" t="s">
        <v>135</v>
      </c>
      <c r="M25" s="62" t="s">
        <v>81</v>
      </c>
      <c r="N25" s="62" t="s">
        <v>74</v>
      </c>
      <c r="O25" s="63" t="s">
        <v>75</v>
      </c>
      <c r="P25" s="64" t="s">
        <v>136</v>
      </c>
    </row>
    <row r="26" spans="1:16" ht="12.75" customHeight="1" thickBot="1" x14ac:dyDescent="0.25">
      <c r="A26" s="17" t="str">
        <f t="shared" si="0"/>
        <v>BAVM 215 </v>
      </c>
      <c r="B26" s="6" t="str">
        <f t="shared" si="1"/>
        <v>I</v>
      </c>
      <c r="C26" s="17">
        <f t="shared" si="2"/>
        <v>55391.416400000002</v>
      </c>
      <c r="D26" s="16" t="str">
        <f t="shared" si="3"/>
        <v>vis</v>
      </c>
      <c r="E26" s="60">
        <f>VLOOKUP(C26,Active!C$21:E$973,3,FALSE)</f>
        <v>46284.994678434246</v>
      </c>
      <c r="F26" s="6" t="s">
        <v>62</v>
      </c>
      <c r="G26" s="16" t="str">
        <f t="shared" si="4"/>
        <v>55391.4164</v>
      </c>
      <c r="H26" s="17">
        <f t="shared" si="5"/>
        <v>46285</v>
      </c>
      <c r="I26" s="61" t="s">
        <v>137</v>
      </c>
      <c r="J26" s="62" t="s">
        <v>138</v>
      </c>
      <c r="K26" s="61" t="s">
        <v>139</v>
      </c>
      <c r="L26" s="61" t="s">
        <v>140</v>
      </c>
      <c r="M26" s="62" t="s">
        <v>81</v>
      </c>
      <c r="N26" s="62" t="s">
        <v>74</v>
      </c>
      <c r="O26" s="63" t="s">
        <v>75</v>
      </c>
      <c r="P26" s="64" t="s">
        <v>141</v>
      </c>
    </row>
    <row r="27" spans="1:16" ht="12.75" customHeight="1" thickBot="1" x14ac:dyDescent="0.25">
      <c r="A27" s="17" t="str">
        <f t="shared" si="0"/>
        <v>BAVM 215 </v>
      </c>
      <c r="B27" s="6" t="str">
        <f t="shared" si="1"/>
        <v>II</v>
      </c>
      <c r="C27" s="17">
        <f t="shared" si="2"/>
        <v>55397.392599999999</v>
      </c>
      <c r="D27" s="16" t="str">
        <f t="shared" si="3"/>
        <v>vis</v>
      </c>
      <c r="E27" s="60">
        <f>VLOOKUP(C27,Active!C$21:E$973,3,FALSE)</f>
        <v>46294.492286709465</v>
      </c>
      <c r="F27" s="6" t="s">
        <v>62</v>
      </c>
      <c r="G27" s="16" t="str">
        <f t="shared" si="4"/>
        <v>55397.3926</v>
      </c>
      <c r="H27" s="17">
        <f t="shared" si="5"/>
        <v>46294.5</v>
      </c>
      <c r="I27" s="61" t="s">
        <v>142</v>
      </c>
      <c r="J27" s="62" t="s">
        <v>143</v>
      </c>
      <c r="K27" s="61" t="s">
        <v>144</v>
      </c>
      <c r="L27" s="61" t="s">
        <v>145</v>
      </c>
      <c r="M27" s="62" t="s">
        <v>81</v>
      </c>
      <c r="N27" s="62" t="s">
        <v>74</v>
      </c>
      <c r="O27" s="63" t="s">
        <v>75</v>
      </c>
      <c r="P27" s="64" t="s">
        <v>141</v>
      </c>
    </row>
    <row r="28" spans="1:16" ht="12.75" customHeight="1" thickBot="1" x14ac:dyDescent="0.25">
      <c r="A28" s="17" t="str">
        <f t="shared" si="0"/>
        <v>IBVS 6011 </v>
      </c>
      <c r="B28" s="6" t="str">
        <f t="shared" si="1"/>
        <v>I</v>
      </c>
      <c r="C28" s="17">
        <f t="shared" si="2"/>
        <v>55852.608899999999</v>
      </c>
      <c r="D28" s="16" t="str">
        <f t="shared" si="3"/>
        <v>vis</v>
      </c>
      <c r="E28" s="60">
        <f>VLOOKUP(C28,Active!C$21:E$973,3,FALSE)</f>
        <v>47017.939644210775</v>
      </c>
      <c r="F28" s="6" t="s">
        <v>62</v>
      </c>
      <c r="G28" s="16" t="str">
        <f t="shared" si="4"/>
        <v>55852.6089</v>
      </c>
      <c r="H28" s="17">
        <f t="shared" si="5"/>
        <v>47018</v>
      </c>
      <c r="I28" s="61" t="s">
        <v>146</v>
      </c>
      <c r="J28" s="62" t="s">
        <v>147</v>
      </c>
      <c r="K28" s="61" t="s">
        <v>148</v>
      </c>
      <c r="L28" s="61" t="s">
        <v>149</v>
      </c>
      <c r="M28" s="62" t="s">
        <v>81</v>
      </c>
      <c r="N28" s="62" t="s">
        <v>62</v>
      </c>
      <c r="O28" s="63" t="s">
        <v>150</v>
      </c>
      <c r="P28" s="64" t="s">
        <v>151</v>
      </c>
    </row>
    <row r="29" spans="1:16" ht="12.75" customHeight="1" thickBot="1" x14ac:dyDescent="0.25">
      <c r="A29" s="17" t="str">
        <f t="shared" si="0"/>
        <v>BAVM 231 </v>
      </c>
      <c r="B29" s="6" t="str">
        <f t="shared" si="1"/>
        <v>I</v>
      </c>
      <c r="C29" s="17">
        <f t="shared" si="2"/>
        <v>56187.373200000002</v>
      </c>
      <c r="D29" s="16" t="str">
        <f t="shared" si="3"/>
        <v>vis</v>
      </c>
      <c r="E29" s="60">
        <f>VLOOKUP(C29,Active!C$21:E$973,3,FALSE)</f>
        <v>47549.960022700689</v>
      </c>
      <c r="F29" s="6" t="s">
        <v>62</v>
      </c>
      <c r="G29" s="16" t="str">
        <f t="shared" si="4"/>
        <v>56187.3732</v>
      </c>
      <c r="H29" s="17">
        <f t="shared" si="5"/>
        <v>47550</v>
      </c>
      <c r="I29" s="61" t="s">
        <v>152</v>
      </c>
      <c r="J29" s="62" t="s">
        <v>153</v>
      </c>
      <c r="K29" s="61" t="s">
        <v>154</v>
      </c>
      <c r="L29" s="61" t="s">
        <v>155</v>
      </c>
      <c r="M29" s="62" t="s">
        <v>81</v>
      </c>
      <c r="N29" s="62" t="s">
        <v>74</v>
      </c>
      <c r="O29" s="63" t="s">
        <v>75</v>
      </c>
      <c r="P29" s="64" t="s">
        <v>156</v>
      </c>
    </row>
    <row r="30" spans="1:16" ht="12.75" customHeight="1" thickBot="1" x14ac:dyDescent="0.25">
      <c r="A30" s="17" t="str">
        <f t="shared" si="0"/>
        <v>IBVS 6042 </v>
      </c>
      <c r="B30" s="6" t="str">
        <f t="shared" si="1"/>
        <v>I</v>
      </c>
      <c r="C30" s="17">
        <f t="shared" si="2"/>
        <v>56203.721400000002</v>
      </c>
      <c r="D30" s="16" t="str">
        <f t="shared" si="3"/>
        <v>vis</v>
      </c>
      <c r="E30" s="60">
        <f>VLOOKUP(C30,Active!C$21:E$973,3,FALSE)</f>
        <v>47575.941214696461</v>
      </c>
      <c r="F30" s="6" t="s">
        <v>62</v>
      </c>
      <c r="G30" s="16" t="str">
        <f t="shared" si="4"/>
        <v>56203.7214</v>
      </c>
      <c r="H30" s="17">
        <f t="shared" si="5"/>
        <v>47576</v>
      </c>
      <c r="I30" s="61" t="s">
        <v>157</v>
      </c>
      <c r="J30" s="62" t="s">
        <v>158</v>
      </c>
      <c r="K30" s="61" t="s">
        <v>159</v>
      </c>
      <c r="L30" s="61" t="s">
        <v>160</v>
      </c>
      <c r="M30" s="62" t="s">
        <v>81</v>
      </c>
      <c r="N30" s="62" t="s">
        <v>62</v>
      </c>
      <c r="O30" s="63" t="s">
        <v>150</v>
      </c>
      <c r="P30" s="64" t="s">
        <v>161</v>
      </c>
    </row>
    <row r="31" spans="1:16" ht="12.75" customHeight="1" thickBot="1" x14ac:dyDescent="0.25">
      <c r="A31" s="17" t="str">
        <f t="shared" si="0"/>
        <v>BAVM 238 </v>
      </c>
      <c r="B31" s="6" t="str">
        <f t="shared" si="1"/>
        <v>I</v>
      </c>
      <c r="C31" s="17">
        <f t="shared" si="2"/>
        <v>56891.447999999997</v>
      </c>
      <c r="D31" s="16" t="str">
        <f t="shared" si="3"/>
        <v>vis</v>
      </c>
      <c r="E31" s="60">
        <f>VLOOKUP(C31,Active!C$21:E$973,3,FALSE)</f>
        <v>48668.902937405765</v>
      </c>
      <c r="F31" s="6" t="s">
        <v>62</v>
      </c>
      <c r="G31" s="16" t="str">
        <f t="shared" si="4"/>
        <v>56891.4480</v>
      </c>
      <c r="H31" s="17">
        <f t="shared" si="5"/>
        <v>48669</v>
      </c>
      <c r="I31" s="61" t="s">
        <v>162</v>
      </c>
      <c r="J31" s="62" t="s">
        <v>163</v>
      </c>
      <c r="K31" s="61" t="s">
        <v>164</v>
      </c>
      <c r="L31" s="61" t="s">
        <v>165</v>
      </c>
      <c r="M31" s="62" t="s">
        <v>81</v>
      </c>
      <c r="N31" s="62" t="s">
        <v>74</v>
      </c>
      <c r="O31" s="63" t="s">
        <v>75</v>
      </c>
      <c r="P31" s="64" t="s">
        <v>166</v>
      </c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</sheetData>
  <phoneticPr fontId="7" type="noConversion"/>
  <hyperlinks>
    <hyperlink ref="P11" r:id="rId1" display="http://www.konkoly.hu/cgi-bin/IBVS?5378"/>
    <hyperlink ref="P12" r:id="rId2" display="http://www.bav-astro.de/sfs/BAVM_link.php?BAVMnr=172"/>
    <hyperlink ref="P13" r:id="rId3" display="http://www.bav-astro.de/sfs/BAVM_link.php?BAVMnr=193"/>
    <hyperlink ref="P14" r:id="rId4" display="http://www.bav-astro.de/sfs/BAVM_link.php?BAVMnr=193"/>
    <hyperlink ref="P15" r:id="rId5" display="http://www.bav-astro.de/sfs/BAVM_link.php?BAVMnr=193"/>
    <hyperlink ref="P16" r:id="rId6" display="http://www.bav-astro.de/sfs/BAVM_link.php?BAVMnr=193"/>
    <hyperlink ref="P17" r:id="rId7" display="http://www.bav-astro.de/sfs/BAVM_link.php?BAVMnr=193"/>
    <hyperlink ref="P18" r:id="rId8" display="http://www.bav-astro.de/sfs/BAVM_link.php?BAVMnr=193"/>
    <hyperlink ref="P19" r:id="rId9" display="http://www.bav-astro.de/sfs/BAVM_link.php?BAVMnr=203"/>
    <hyperlink ref="P20" r:id="rId10" display="http://www.bav-astro.de/sfs/BAVM_link.php?BAVMnr=203"/>
    <hyperlink ref="P21" r:id="rId11" display="http://www.bav-astro.de/sfs/BAVM_link.php?BAVMnr=212"/>
    <hyperlink ref="P22" r:id="rId12" display="http://www.bav-astro.de/sfs/BAVM_link.php?BAVMnr=212"/>
    <hyperlink ref="P23" r:id="rId13" display="http://www.bav-astro.de/sfs/BAVM_link.php?BAVMnr=212"/>
    <hyperlink ref="P24" r:id="rId14" display="http://www.bav-astro.de/sfs/BAVM_link.php?BAVMnr=212"/>
    <hyperlink ref="P25" r:id="rId15" display="http://www.bav-astro.de/sfs/BAVM_link.php?BAVMnr=214"/>
    <hyperlink ref="P26" r:id="rId16" display="http://www.bav-astro.de/sfs/BAVM_link.php?BAVMnr=215"/>
    <hyperlink ref="P27" r:id="rId17" display="http://www.bav-astro.de/sfs/BAVM_link.php?BAVMnr=215"/>
    <hyperlink ref="P28" r:id="rId18" display="http://www.konkoly.hu/cgi-bin/IBVS?6011"/>
    <hyperlink ref="P29" r:id="rId19" display="http://www.bav-astro.de/sfs/BAVM_link.php?BAVMnr=231"/>
    <hyperlink ref="P30" r:id="rId20" display="http://www.konkoly.hu/cgi-bin/IBVS?6042"/>
    <hyperlink ref="P31" r:id="rId21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195"/>
  <sheetViews>
    <sheetView workbookViewId="0">
      <selection activeCell="C34" sqref="C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26</v>
      </c>
      <c r="B2" s="16" t="s">
        <v>35</v>
      </c>
    </row>
    <row r="4" spans="1:7" x14ac:dyDescent="0.2">
      <c r="A4" s="8" t="s">
        <v>0</v>
      </c>
      <c r="C4" s="3">
        <v>26267.412</v>
      </c>
      <c r="D4" s="4">
        <v>0.62923209999999996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26267.412</v>
      </c>
    </row>
    <row r="8" spans="1:7" x14ac:dyDescent="0.2">
      <c r="A8" t="s">
        <v>3</v>
      </c>
      <c r="C8">
        <f>+D4</f>
        <v>0.62923209999999996</v>
      </c>
    </row>
    <row r="9" spans="1:7" x14ac:dyDescent="0.2">
      <c r="A9" s="20" t="s">
        <v>38</v>
      </c>
      <c r="B9" s="16"/>
      <c r="C9" s="21">
        <v>8</v>
      </c>
      <c r="D9" s="16" t="s">
        <v>39</v>
      </c>
      <c r="E9" s="16"/>
    </row>
    <row r="10" spans="1:7" ht="13.5" thickBot="1" x14ac:dyDescent="0.25">
      <c r="A10" s="16"/>
      <c r="B10" s="16"/>
      <c r="C10" s="7" t="s">
        <v>21</v>
      </c>
      <c r="D10" s="7" t="s">
        <v>22</v>
      </c>
      <c r="E10" s="16"/>
    </row>
    <row r="11" spans="1:7" x14ac:dyDescent="0.2">
      <c r="A11" s="16" t="s">
        <v>16</v>
      </c>
      <c r="B11" s="16"/>
      <c r="C11" s="22">
        <f ca="1">INTERCEPT(INDIRECT($G$11):G992,INDIRECT($F$11):F992)</f>
        <v>0.93165289143133911</v>
      </c>
      <c r="D11" s="6"/>
      <c r="E11" s="16"/>
      <c r="F11" s="23" t="str">
        <f>"F"&amp;E19</f>
        <v>F21</v>
      </c>
      <c r="G11" s="24" t="str">
        <f>"G"&amp;E19</f>
        <v>G21</v>
      </c>
    </row>
    <row r="12" spans="1:7" x14ac:dyDescent="0.2">
      <c r="A12" s="16" t="s">
        <v>17</v>
      </c>
      <c r="B12" s="16"/>
      <c r="C12" s="22">
        <f ca="1">SLOPE(INDIRECT($G$11):G992,INDIRECT($F$11):F992)</f>
        <v>-2.0307978919468284E-5</v>
      </c>
      <c r="D12" s="6"/>
      <c r="E12" s="16"/>
    </row>
    <row r="13" spans="1:7" x14ac:dyDescent="0.2">
      <c r="A13" s="16" t="s">
        <v>20</v>
      </c>
      <c r="B13" s="16"/>
      <c r="C13" s="6" t="s">
        <v>14</v>
      </c>
      <c r="D13" s="25" t="s">
        <v>40</v>
      </c>
      <c r="E13" s="21">
        <v>1</v>
      </c>
    </row>
    <row r="14" spans="1:7" x14ac:dyDescent="0.2">
      <c r="A14" s="16"/>
      <c r="B14" s="16"/>
      <c r="C14" s="16"/>
      <c r="D14" s="25" t="s">
        <v>41</v>
      </c>
      <c r="E14" s="26">
        <f ca="1">NOW()+15018.5+$C$9/24</f>
        <v>60340.538834837964</v>
      </c>
    </row>
    <row r="15" spans="1:7" x14ac:dyDescent="0.2">
      <c r="A15" s="27" t="s">
        <v>18</v>
      </c>
      <c r="B15" s="16"/>
      <c r="C15" s="28">
        <f ca="1">(C7+C11)+(C8+C12)*INT(MAX(F21:F3533))</f>
        <v>56891.452358765397</v>
      </c>
      <c r="D15" s="25" t="s">
        <v>42</v>
      </c>
      <c r="E15" s="26">
        <f ca="1">ROUND(2*(E14-$C$7)/$C$8,0)/2+E13</f>
        <v>54151.5</v>
      </c>
    </row>
    <row r="16" spans="1:7" x14ac:dyDescent="0.2">
      <c r="A16" s="29" t="s">
        <v>4</v>
      </c>
      <c r="B16" s="16"/>
      <c r="C16" s="30">
        <f ca="1">+C8+C12</f>
        <v>0.62921179202108046</v>
      </c>
      <c r="D16" s="25" t="s">
        <v>43</v>
      </c>
      <c r="E16" s="24">
        <f ca="1">ROUND(2*(E14-$C$15)/$C$16,0)/2+E13</f>
        <v>5482.5</v>
      </c>
    </row>
    <row r="17" spans="1:17" ht="13.5" thickBot="1" x14ac:dyDescent="0.25">
      <c r="A17" s="25" t="s">
        <v>36</v>
      </c>
      <c r="B17" s="16"/>
      <c r="C17" s="16">
        <f>COUNT(C21:C2191)</f>
        <v>10</v>
      </c>
      <c r="D17" s="25" t="s">
        <v>44</v>
      </c>
      <c r="E17" s="31">
        <f ca="1">+$C$15+$C$16*E16-15018.5-$C$9/24</f>
        <v>45322.272675187633</v>
      </c>
    </row>
    <row r="18" spans="1:17" x14ac:dyDescent="0.2">
      <c r="A18" s="29" t="s">
        <v>5</v>
      </c>
      <c r="B18" s="16"/>
      <c r="C18" s="32">
        <f ca="1">+C15</f>
        <v>56891.452358765397</v>
      </c>
      <c r="D18" s="33">
        <f ca="1">+C16</f>
        <v>0.62921179202108046</v>
      </c>
      <c r="E18" s="34" t="s">
        <v>45</v>
      </c>
    </row>
    <row r="19" spans="1:17" ht="13.5" thickTop="1" x14ac:dyDescent="0.2">
      <c r="A19" s="35" t="s">
        <v>46</v>
      </c>
      <c r="E19" s="36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17">
        <f>+C4</f>
        <v>26267.412</v>
      </c>
      <c r="D21" s="17" t="s">
        <v>14</v>
      </c>
      <c r="E21">
        <f t="shared" ref="E21:E30" si="0">+(C21-C$7)/C$8</f>
        <v>0</v>
      </c>
      <c r="F21">
        <f t="shared" ref="F21:F30" si="1">ROUND(2*E21,0)/2</f>
        <v>0</v>
      </c>
      <c r="H21">
        <v>0</v>
      </c>
      <c r="O21">
        <f t="shared" ref="O21:O30" ca="1" si="2">+C$11+C$12*$F21</f>
        <v>0.93165289143133911</v>
      </c>
      <c r="Q21" s="2">
        <f t="shared" ref="Q21:Q30" si="3">+C21-15018.5</f>
        <v>11248.912</v>
      </c>
    </row>
    <row r="22" spans="1:17" x14ac:dyDescent="0.2">
      <c r="A22" s="11" t="s">
        <v>31</v>
      </c>
      <c r="B22" s="12" t="s">
        <v>32</v>
      </c>
      <c r="C22" s="18">
        <v>52587.642999999996</v>
      </c>
      <c r="D22" s="19">
        <v>1E-4</v>
      </c>
      <c r="E22">
        <f t="shared" si="0"/>
        <v>41829.12950563075</v>
      </c>
      <c r="F22">
        <f t="shared" si="1"/>
        <v>41829</v>
      </c>
      <c r="G22">
        <f t="shared" ref="G22:G30" si="4">+C22-(C$7+F22*C$8)</f>
        <v>8.1489099997270387E-2</v>
      </c>
      <c r="I22">
        <f t="shared" ref="I22:I30" si="5">+G22</f>
        <v>8.1489099997270387E-2</v>
      </c>
      <c r="O22">
        <f t="shared" ca="1" si="2"/>
        <v>8.2190441208900289E-2</v>
      </c>
      <c r="Q22" s="2">
        <f t="shared" si="3"/>
        <v>37569.142999999996</v>
      </c>
    </row>
    <row r="23" spans="1:17" x14ac:dyDescent="0.2">
      <c r="A23" s="40" t="s">
        <v>33</v>
      </c>
      <c r="B23" s="41"/>
      <c r="C23" s="42">
        <v>52854.426899999999</v>
      </c>
      <c r="D23" s="42">
        <v>1.1000000000000001E-3</v>
      </c>
      <c r="E23">
        <f t="shared" si="0"/>
        <v>42253.112802096395</v>
      </c>
      <c r="F23">
        <f t="shared" si="1"/>
        <v>42253</v>
      </c>
      <c r="G23">
        <f t="shared" si="4"/>
        <v>7.0978700001433026E-2</v>
      </c>
      <c r="I23">
        <f t="shared" si="5"/>
        <v>7.0978700001433026E-2</v>
      </c>
      <c r="O23">
        <f t="shared" ca="1" si="2"/>
        <v>7.3579858147045707E-2</v>
      </c>
      <c r="Q23" s="2">
        <f t="shared" si="3"/>
        <v>37835.926899999999</v>
      </c>
    </row>
    <row r="24" spans="1:17" x14ac:dyDescent="0.2">
      <c r="A24" s="43" t="s">
        <v>47</v>
      </c>
      <c r="B24" s="44" t="s">
        <v>32</v>
      </c>
      <c r="C24" s="43">
        <v>55357.441500000001</v>
      </c>
      <c r="D24" s="43">
        <v>1.6000000000000001E-3</v>
      </c>
      <c r="E24">
        <f t="shared" si="0"/>
        <v>46231.000452774104</v>
      </c>
      <c r="F24">
        <f t="shared" si="1"/>
        <v>46231</v>
      </c>
      <c r="G24">
        <f t="shared" si="4"/>
        <v>2.849000011337921E-4</v>
      </c>
      <c r="I24">
        <f t="shared" si="5"/>
        <v>2.849000011337921E-4</v>
      </c>
      <c r="O24">
        <f t="shared" ca="1" si="2"/>
        <v>-7.2052819945991331E-3</v>
      </c>
      <c r="Q24" s="2">
        <f t="shared" si="3"/>
        <v>40338.941500000001</v>
      </c>
    </row>
    <row r="25" spans="1:17" x14ac:dyDescent="0.2">
      <c r="A25" s="48" t="s">
        <v>51</v>
      </c>
      <c r="B25" s="48"/>
      <c r="C25" s="49">
        <v>55391.416400000002</v>
      </c>
      <c r="D25" s="49">
        <v>2.7000000000000001E-3</v>
      </c>
      <c r="E25">
        <f t="shared" si="0"/>
        <v>46284.994678434246</v>
      </c>
      <c r="F25">
        <f t="shared" si="1"/>
        <v>46285</v>
      </c>
      <c r="G25">
        <f t="shared" si="4"/>
        <v>-3.3484999948996119E-3</v>
      </c>
      <c r="I25">
        <f t="shared" si="5"/>
        <v>-3.3484999948996119E-3</v>
      </c>
      <c r="O25">
        <f t="shared" ca="1" si="2"/>
        <v>-8.3019128562503708E-3</v>
      </c>
      <c r="Q25" s="2">
        <f t="shared" si="3"/>
        <v>40372.916400000002</v>
      </c>
    </row>
    <row r="26" spans="1:17" x14ac:dyDescent="0.2">
      <c r="A26" s="48" t="s">
        <v>51</v>
      </c>
      <c r="B26" s="48"/>
      <c r="C26" s="49">
        <v>55397.392599999999</v>
      </c>
      <c r="D26" s="49">
        <v>3.2000000000000002E-3</v>
      </c>
      <c r="E26">
        <f t="shared" si="0"/>
        <v>46294.492286709465</v>
      </c>
      <c r="F26">
        <f t="shared" si="1"/>
        <v>46294.5</v>
      </c>
      <c r="G26">
        <f t="shared" si="4"/>
        <v>-4.8534500019741245E-3</v>
      </c>
      <c r="I26">
        <f t="shared" si="5"/>
        <v>-4.8534500019741245E-3</v>
      </c>
      <c r="O26">
        <f t="shared" ca="1" si="2"/>
        <v>-8.4948386559853262E-3</v>
      </c>
      <c r="Q26" s="2">
        <f t="shared" si="3"/>
        <v>40378.892599999999</v>
      </c>
    </row>
    <row r="27" spans="1:17" x14ac:dyDescent="0.2">
      <c r="A27" s="43" t="s">
        <v>48</v>
      </c>
      <c r="B27" s="44" t="s">
        <v>32</v>
      </c>
      <c r="C27" s="43">
        <v>55852.608899999999</v>
      </c>
      <c r="D27" s="43">
        <v>2.2000000000000001E-3</v>
      </c>
      <c r="E27">
        <f t="shared" si="0"/>
        <v>47017.939644210775</v>
      </c>
      <c r="F27">
        <f t="shared" si="1"/>
        <v>47018</v>
      </c>
      <c r="G27">
        <f t="shared" si="4"/>
        <v>-3.7977799998770934E-2</v>
      </c>
      <c r="I27">
        <f t="shared" si="5"/>
        <v>-3.7977799998770934E-2</v>
      </c>
      <c r="O27">
        <f t="shared" ca="1" si="2"/>
        <v>-2.3187661404220683E-2</v>
      </c>
      <c r="Q27" s="2">
        <f t="shared" si="3"/>
        <v>40834.108899999999</v>
      </c>
    </row>
    <row r="28" spans="1:17" x14ac:dyDescent="0.2">
      <c r="A28" s="37" t="s">
        <v>50</v>
      </c>
      <c r="B28" s="38" t="s">
        <v>32</v>
      </c>
      <c r="C28" s="39">
        <v>56187.373200000002</v>
      </c>
      <c r="D28" s="39">
        <v>6.7999999999999996E-3</v>
      </c>
      <c r="E28">
        <f t="shared" si="0"/>
        <v>47549.960022700689</v>
      </c>
      <c r="F28">
        <f t="shared" si="1"/>
        <v>47550</v>
      </c>
      <c r="G28">
        <f t="shared" si="4"/>
        <v>-2.5154999995720573E-2</v>
      </c>
      <c r="I28">
        <f t="shared" si="5"/>
        <v>-2.5154999995720573E-2</v>
      </c>
      <c r="O28">
        <f t="shared" ca="1" si="2"/>
        <v>-3.399150618937774E-2</v>
      </c>
      <c r="Q28" s="2">
        <f t="shared" si="3"/>
        <v>41168.873200000002</v>
      </c>
    </row>
    <row r="29" spans="1:17" x14ac:dyDescent="0.2">
      <c r="A29" s="45" t="s">
        <v>49</v>
      </c>
      <c r="B29" s="46" t="s">
        <v>32</v>
      </c>
      <c r="C29" s="47">
        <v>56203.721400000002</v>
      </c>
      <c r="D29" s="47">
        <v>1.2000000000000002E-4</v>
      </c>
      <c r="E29">
        <f t="shared" si="0"/>
        <v>47575.941214696461</v>
      </c>
      <c r="F29">
        <f t="shared" si="1"/>
        <v>47576</v>
      </c>
      <c r="G29">
        <f t="shared" si="4"/>
        <v>-3.6989599997468758E-2</v>
      </c>
      <c r="I29">
        <f t="shared" si="5"/>
        <v>-3.6989599997468758E-2</v>
      </c>
      <c r="O29">
        <f t="shared" ca="1" si="2"/>
        <v>-3.4519513641283917E-2</v>
      </c>
      <c r="Q29" s="2">
        <f t="shared" si="3"/>
        <v>41185.221400000002</v>
      </c>
    </row>
    <row r="30" spans="1:17" x14ac:dyDescent="0.2">
      <c r="A30" s="50" t="s">
        <v>52</v>
      </c>
      <c r="B30" s="51" t="s">
        <v>32</v>
      </c>
      <c r="C30" s="50">
        <v>56891.447999999997</v>
      </c>
      <c r="D30" s="50">
        <v>7.7000000000000002E-3</v>
      </c>
      <c r="E30">
        <f t="shared" si="0"/>
        <v>48668.902937405765</v>
      </c>
      <c r="F30">
        <f t="shared" si="1"/>
        <v>48669</v>
      </c>
      <c r="G30">
        <f t="shared" si="4"/>
        <v>-6.1074899997038301E-2</v>
      </c>
      <c r="I30">
        <f t="shared" si="5"/>
        <v>-6.1074899997038301E-2</v>
      </c>
      <c r="O30">
        <f t="shared" ca="1" si="2"/>
        <v>-5.6716134600262813E-2</v>
      </c>
      <c r="Q30" s="2">
        <f t="shared" si="3"/>
        <v>41872.947999999997</v>
      </c>
    </row>
    <row r="31" spans="1:17" x14ac:dyDescent="0.2">
      <c r="C31" s="17"/>
      <c r="D31" s="17"/>
      <c r="Q31" s="2"/>
    </row>
    <row r="32" spans="1:17" x14ac:dyDescent="0.2">
      <c r="C32" s="17"/>
      <c r="D32" s="17"/>
      <c r="Q32" s="2"/>
    </row>
    <row r="33" spans="3:17" x14ac:dyDescent="0.2">
      <c r="C33" s="17"/>
      <c r="D33" s="17"/>
      <c r="Q33" s="2"/>
    </row>
    <row r="34" spans="3:17" x14ac:dyDescent="0.2">
      <c r="C34" s="17"/>
      <c r="D34" s="17"/>
    </row>
    <row r="35" spans="3:17" x14ac:dyDescent="0.2">
      <c r="C35" s="17"/>
      <c r="D35" s="17"/>
    </row>
    <row r="36" spans="3:17" x14ac:dyDescent="0.2">
      <c r="C36" s="17"/>
      <c r="D36" s="17"/>
    </row>
    <row r="37" spans="3:17" x14ac:dyDescent="0.2">
      <c r="C37" s="17"/>
      <c r="D37" s="17"/>
    </row>
    <row r="38" spans="3:17" x14ac:dyDescent="0.2">
      <c r="C38" s="17"/>
      <c r="D38" s="17"/>
    </row>
    <row r="39" spans="3:17" x14ac:dyDescent="0.2">
      <c r="C39" s="17"/>
      <c r="D39" s="17"/>
    </row>
    <row r="40" spans="3:17" x14ac:dyDescent="0.2">
      <c r="C40" s="17"/>
      <c r="D40" s="17"/>
    </row>
    <row r="41" spans="3:17" x14ac:dyDescent="0.2">
      <c r="C41" s="17"/>
      <c r="D41" s="17"/>
    </row>
    <row r="42" spans="3:17" x14ac:dyDescent="0.2">
      <c r="C42" s="17"/>
      <c r="D42" s="17"/>
    </row>
    <row r="43" spans="3:17" x14ac:dyDescent="0.2">
      <c r="C43" s="17"/>
      <c r="D43" s="17"/>
    </row>
    <row r="44" spans="3:17" x14ac:dyDescent="0.2">
      <c r="C44" s="17"/>
      <c r="D44" s="17"/>
    </row>
    <row r="45" spans="3:17" x14ac:dyDescent="0.2">
      <c r="C45" s="17"/>
      <c r="D45" s="17"/>
    </row>
    <row r="46" spans="3:17" x14ac:dyDescent="0.2">
      <c r="C46" s="17"/>
      <c r="D46" s="17"/>
    </row>
    <row r="47" spans="3:17" x14ac:dyDescent="0.2">
      <c r="C47" s="17"/>
      <c r="D47" s="17"/>
    </row>
    <row r="48" spans="3:17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2024-01-30T06:25:55Z</dcterms:modified>
</cp:coreProperties>
</file>