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4157F44-FE3E-4914-9168-CBBC2B4706D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7" i="1" l="1"/>
  <c r="D9" i="1"/>
  <c r="C9" i="1"/>
  <c r="Q24" i="1"/>
  <c r="Q25" i="1"/>
  <c r="Q22" i="1"/>
  <c r="G13" i="2"/>
  <c r="C13" i="2"/>
  <c r="G15" i="2"/>
  <c r="C15" i="2"/>
  <c r="G14" i="2"/>
  <c r="C14" i="2"/>
  <c r="G12" i="2"/>
  <c r="C12" i="2"/>
  <c r="G16" i="2"/>
  <c r="C16" i="2"/>
  <c r="H13" i="2"/>
  <c r="D13" i="2"/>
  <c r="B13" i="2"/>
  <c r="A13" i="2"/>
  <c r="H15" i="2"/>
  <c r="B15" i="2"/>
  <c r="D15" i="2"/>
  <c r="A15" i="2"/>
  <c r="H14" i="2"/>
  <c r="D14" i="2"/>
  <c r="B14" i="2"/>
  <c r="A14" i="2"/>
  <c r="H12" i="2"/>
  <c r="B12" i="2"/>
  <c r="D12" i="2"/>
  <c r="A12" i="2"/>
  <c r="H16" i="2"/>
  <c r="D16" i="2"/>
  <c r="B16" i="2"/>
  <c r="A16" i="2"/>
  <c r="Q26" i="1"/>
  <c r="Q23" i="1"/>
  <c r="R23" i="1"/>
  <c r="C7" i="1"/>
  <c r="C8" i="1"/>
  <c r="E27" i="1"/>
  <c r="F27" i="1"/>
  <c r="G27" i="1"/>
  <c r="K27" i="1"/>
  <c r="E21" i="1"/>
  <c r="F21" i="1"/>
  <c r="G21" i="1"/>
  <c r="H21" i="1"/>
  <c r="F17" i="1"/>
  <c r="C17" i="1"/>
  <c r="Q21" i="1"/>
  <c r="E16" i="2"/>
  <c r="E15" i="2"/>
  <c r="E12" i="2"/>
  <c r="E24" i="1"/>
  <c r="F24" i="1"/>
  <c r="G24" i="1"/>
  <c r="I24" i="1"/>
  <c r="E26" i="1"/>
  <c r="F26" i="1"/>
  <c r="G26" i="1"/>
  <c r="K26" i="1"/>
  <c r="E22" i="1"/>
  <c r="F22" i="1"/>
  <c r="G22" i="1"/>
  <c r="E23" i="1"/>
  <c r="F23" i="1"/>
  <c r="G23" i="1"/>
  <c r="K23" i="1"/>
  <c r="E25" i="1"/>
  <c r="F25" i="1"/>
  <c r="G25" i="1"/>
  <c r="I25" i="1"/>
  <c r="I22" i="1"/>
  <c r="E14" i="2"/>
  <c r="E13" i="2"/>
  <c r="C12" i="1"/>
  <c r="C11" i="1"/>
  <c r="O26" i="1" l="1"/>
  <c r="O25" i="1"/>
  <c r="O27" i="1"/>
  <c r="O22" i="1"/>
  <c r="O23" i="1"/>
  <c r="O21" i="1"/>
  <c r="C15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<sst xmlns="http://schemas.openxmlformats.org/spreadsheetml/2006/main" count="113" uniqueCount="84">
  <si>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</si>
  <si>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</si>
  <si>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</si>
  <si>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</si>
  <si>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</si>
  <si>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</si>
  <si>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</si>
  <si>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</si>
  <si>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</si>
  <si>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</si>
  <si>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</si>
  <si>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</si>
  <si>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</si>
  <si>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</si>
  <si>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</si>
  <si>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</si>
  <si>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</si>
  <si>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</si>
  <si>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</si>
  <si>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</si>
  <si>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</si>
  <si>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</si>
  <si>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</si>
  <si>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</si>
  <si>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</si>
  <si>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</si>
  <si>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</si>
  <si>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</si>
  <si>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</si>
  <si>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</si>
  <si>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</si>
  <si>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</si>
  <si>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</si>
  <si>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</si>
  <si>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</si>
  <si>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PQ Cyg / HV 10455</t>
  </si>
  <si>
    <t xml:space="preserve">E/SD      </t>
  </si>
  <si>
    <t>Cyg_PQ.xls</t>
  </si>
  <si>
    <t>IBVS 5781</t>
  </si>
  <si>
    <t>I</t>
  </si>
  <si>
    <t>OEJV 0160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</si>
  <si>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</si>
  <si>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</si>
  <si>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</si>
  <si>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</si>
  <si>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</si>
  <si>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</si>
  <si>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</si>
  <si>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</si>
  <si>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</si>
  <si>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</si>
  <si>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</si>
  <si>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2452100.454 </t>
  </si>
  <si>
    <t> 09.07.2001 22:53 </t>
  </si>
  <si>
    <t> 0.045 </t>
  </si>
  <si>
    <t>E </t>
  </si>
  <si>
    <t>?</t>
  </si>
  <si>
    <t> E.Blättler </t>
  </si>
  <si>
    <t> BBS 126 </t>
  </si>
  <si>
    <t>2453941.4343 </t>
  </si>
  <si>
    <t> 24.07.2006 22:25 </t>
  </si>
  <si>
    <t> 0.0274 </t>
  </si>
  <si>
    <t>C </t>
  </si>
  <si>
    <t> R. Diethelm </t>
  </si>
  <si>
    <t> BBS 133 (=IBVS 5781) </t>
  </si>
  <si>
    <t>2455071.4698 </t>
  </si>
  <si>
    <t> 27.08.2009 23:16 </t>
  </si>
  <si>
    <t> 0.0291 </t>
  </si>
  <si>
    <t>o</t>
  </si>
  <si>
    <t> U.Schmidt </t>
  </si>
  <si>
    <t>BAVM 212 </t>
  </si>
  <si>
    <t>2455799.3886 </t>
  </si>
  <si>
    <t> 25.08.2011 21:19 </t>
  </si>
  <si>
    <t> 0.0270 </t>
  </si>
  <si>
    <t>-I</t>
  </si>
  <si>
    <t> F.Agerer </t>
  </si>
  <si>
    <t>BAVM 225 </t>
  </si>
  <si>
    <t>2455879.32155 </t>
  </si>
  <si>
    <t> 13.11.2011 19:43 </t>
  </si>
  <si>
    <t>26299</t>
  </si>
  <si>
    <t> 0.02183 </t>
  </si>
  <si>
    <t> J.Trnka </t>
  </si>
  <si>
    <t>OEJV 0160 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</si>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</sst>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7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7" fillId="2" borderId="11" xfId="7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4" fillId="0" borderId="0" xfId="0" applyFont="1">
      <alignment vertical="top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PQ Cyg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23179</c:v>
                </c:pt>
                <c:pt idx="2">
                  <c:v>24699</c:v>
                </c:pt>
                <c:pt idx="3">
                  <c:v>25632</c:v>
                </c:pt>
                <c:pt idx="4">
                  <c:v>26233</c:v>
                </c:pt>
                <c:pt idx="5">
                  <c:v>26299</c:v>
                </c:pt>
                <c:pt idx="6">
                  <c:v>28047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19-4F50-8FE4-492D815E4AD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23179</c:v>
                </c:pt>
                <c:pt idx="2">
                  <c:v>24699</c:v>
                </c:pt>
                <c:pt idx="3">
                  <c:v>25632</c:v>
                </c:pt>
                <c:pt idx="4">
                  <c:v>26233</c:v>
                </c:pt>
                <c:pt idx="5">
                  <c:v>26299</c:v>
                </c:pt>
                <c:pt idx="6">
                  <c:v>28047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4.5243000000482425E-2</c:v>
                </c:pt>
                <c:pt idx="3">
                  <c:v>2.9144000000087544E-2</c:v>
                </c:pt>
                <c:pt idx="4">
                  <c:v>2.6961000003211666E-2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019-4F50-8FE4-492D815E4AD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23179</c:v>
                </c:pt>
                <c:pt idx="2">
                  <c:v>24699</c:v>
                </c:pt>
                <c:pt idx="3">
                  <c:v>25632</c:v>
                </c:pt>
                <c:pt idx="4">
                  <c:v>26233</c:v>
                </c:pt>
                <c:pt idx="5">
                  <c:v>26299</c:v>
                </c:pt>
                <c:pt idx="6">
                  <c:v>28047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019-4F50-8FE4-492D815E4AD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23179</c:v>
                </c:pt>
                <c:pt idx="2">
                  <c:v>24699</c:v>
                </c:pt>
                <c:pt idx="3">
                  <c:v>25632</c:v>
                </c:pt>
                <c:pt idx="4">
                  <c:v>26233</c:v>
                </c:pt>
                <c:pt idx="5">
                  <c:v>26299</c:v>
                </c:pt>
                <c:pt idx="6">
                  <c:v>28047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2.7383000000554603E-2</c:v>
                </c:pt>
                <c:pt idx="5">
                  <c:v>2.1832999998878222E-2</c:v>
                </c:pt>
                <c:pt idx="6">
                  <c:v>5.6489997878088616E-3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019-4F50-8FE4-492D815E4AD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23179</c:v>
                </c:pt>
                <c:pt idx="2">
                  <c:v>24699</c:v>
                </c:pt>
                <c:pt idx="3">
                  <c:v>25632</c:v>
                </c:pt>
                <c:pt idx="4">
                  <c:v>26233</c:v>
                </c:pt>
                <c:pt idx="5">
                  <c:v>26299</c:v>
                </c:pt>
                <c:pt idx="6">
                  <c:v>28047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019-4F50-8FE4-492D815E4AD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23179</c:v>
                </c:pt>
                <c:pt idx="2">
                  <c:v>24699</c:v>
                </c:pt>
                <c:pt idx="3">
                  <c:v>25632</c:v>
                </c:pt>
                <c:pt idx="4">
                  <c:v>26233</c:v>
                </c:pt>
                <c:pt idx="5">
                  <c:v>26299</c:v>
                </c:pt>
                <c:pt idx="6">
                  <c:v>28047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19-4F50-8FE4-492D815E4AD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1.1999999999999999E-3</c:v>
                  </c:pt>
                  <c:pt idx="3">
                    <c:v>0</c:v>
                  </c:pt>
                  <c:pt idx="4">
                    <c:v>0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23179</c:v>
                </c:pt>
                <c:pt idx="2">
                  <c:v>24699</c:v>
                </c:pt>
                <c:pt idx="3">
                  <c:v>25632</c:v>
                </c:pt>
                <c:pt idx="4">
                  <c:v>26233</c:v>
                </c:pt>
                <c:pt idx="5">
                  <c:v>26299</c:v>
                </c:pt>
                <c:pt idx="6">
                  <c:v>28047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019-4F50-8FE4-492D815E4AD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23179</c:v>
                </c:pt>
                <c:pt idx="2">
                  <c:v>24699</c:v>
                </c:pt>
                <c:pt idx="3">
                  <c:v>25632</c:v>
                </c:pt>
                <c:pt idx="4">
                  <c:v>26233</c:v>
                </c:pt>
                <c:pt idx="5">
                  <c:v>26299</c:v>
                </c:pt>
                <c:pt idx="6">
                  <c:v>28047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0.21583102830079404</c:v>
                </c:pt>
                <c:pt idx="1">
                  <c:v>4.4529875669856722E-2</c:v>
                </c:pt>
                <c:pt idx="2">
                  <c:v>3.3296528588488888E-2</c:v>
                </c:pt>
                <c:pt idx="3">
                  <c:v>2.640132278130719E-2</c:v>
                </c:pt>
                <c:pt idx="4">
                  <c:v>2.1959716468213736E-2</c:v>
                </c:pt>
                <c:pt idx="5">
                  <c:v>2.1471952713364856E-2</c:v>
                </c:pt>
                <c:pt idx="6">
                  <c:v>8.5536035697918733E-3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019-4F50-8FE4-492D815E4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3988144"/>
        <c:axId val="1"/>
      </c:scatterChart>
      <c:valAx>
        <c:axId val="583988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39881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4596912-50E8-5080-CCA3-44DC3DB75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sfs/BAVM_link.php?BAVMnr=2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35</v>
      </c>
      <c r="F1">
        <v>24026.398000000001</v>
      </c>
      <c r="G1">
        <v>1.2111829999999999</v>
      </c>
      <c r="H1" t="s">
        <v>36</v>
      </c>
      <c r="I1" t="s">
        <v>37</v>
      </c>
    </row>
    <row r="2" spans="1:9" x14ac:dyDescent="0.2">
      <c r="A2" t="s">
        <v>24</v>
      </c>
      <c r="B2" t="s">
        <v>36</v>
      </c>
      <c r="C2" s="3"/>
      <c r="D2" s="3"/>
      <c r="E2" t="s">
        <v>37</v>
      </c>
    </row>
    <row r="3" spans="1:9" ht="13.5" thickBot="1" x14ac:dyDescent="0.25"/>
    <row r="4" spans="1:9" ht="14.25" thickTop="1" thickBot="1" x14ac:dyDescent="0.25">
      <c r="A4" s="5" t="s">
        <v>0</v>
      </c>
      <c r="C4" s="8">
        <v>24026.398000000001</v>
      </c>
      <c r="D4" s="9">
        <v>1.2111829999999999</v>
      </c>
    </row>
    <row r="5" spans="1:9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9" x14ac:dyDescent="0.2">
      <c r="A6" s="5" t="s">
        <v>1</v>
      </c>
    </row>
    <row r="7" spans="1:9" x14ac:dyDescent="0.2">
      <c r="A7" t="s">
        <v>2</v>
      </c>
      <c r="C7">
        <f>+C4</f>
        <v>24026.398000000001</v>
      </c>
    </row>
    <row r="8" spans="1:9" x14ac:dyDescent="0.2">
      <c r="A8" t="s">
        <v>3</v>
      </c>
      <c r="C8">
        <f>+D4</f>
        <v>1.2111829999999999</v>
      </c>
    </row>
    <row r="9" spans="1:9" x14ac:dyDescent="0.2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9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9" x14ac:dyDescent="0.2">
      <c r="A11" s="12" t="s">
        <v>16</v>
      </c>
      <c r="B11" s="12"/>
      <c r="C11" s="23">
        <f ca="1">INTERCEPT(INDIRECT($D$9):G992,INDIRECT($C$9):F992)</f>
        <v>0.21583102830079404</v>
      </c>
      <c r="D11" s="3"/>
      <c r="E11" s="12"/>
    </row>
    <row r="12" spans="1:9" x14ac:dyDescent="0.2">
      <c r="A12" s="12" t="s">
        <v>17</v>
      </c>
      <c r="B12" s="12"/>
      <c r="C12" s="23">
        <f ca="1">SLOPE(INDIRECT($D$9):G992,INDIRECT($C$9):F992)</f>
        <v>-7.3903599219525142E-6</v>
      </c>
      <c r="D12" s="3"/>
      <c r="E12" s="12"/>
    </row>
    <row r="13" spans="1:9" x14ac:dyDescent="0.2">
      <c r="A13" s="12" t="s">
        <v>19</v>
      </c>
      <c r="B13" s="12"/>
      <c r="C13" s="3" t="s">
        <v>14</v>
      </c>
    </row>
    <row r="14" spans="1:9" x14ac:dyDescent="0.2">
      <c r="A14" s="12"/>
      <c r="B14" s="12"/>
      <c r="C14" s="12"/>
    </row>
    <row r="15" spans="1:9" x14ac:dyDescent="0.2">
      <c r="A15" s="14" t="s">
        <v>18</v>
      </c>
      <c r="B15" s="12"/>
      <c r="C15" s="15">
        <f ca="1">(C7+C11)+(C8+C12)*INT(MAX(F21:F3533))</f>
        <v>57996.456154603569</v>
      </c>
      <c r="E15" s="3"/>
      <c r="F15" s="12"/>
    </row>
    <row r="16" spans="1:9" x14ac:dyDescent="0.2">
      <c r="A16" s="18" t="s">
        <v>4</v>
      </c>
      <c r="B16" s="12"/>
      <c r="C16" s="19">
        <f ca="1">+C8+C12</f>
        <v>1.2111756096400779</v>
      </c>
      <c r="E16" s="12"/>
      <c r="F16" s="12"/>
    </row>
    <row r="17" spans="1:18" ht="13.5" thickBot="1" x14ac:dyDescent="0.25">
      <c r="A17" s="16" t="s">
        <v>28</v>
      </c>
      <c r="B17" s="12"/>
      <c r="C17" s="12">
        <f>COUNT(C21:C2191)</f>
        <v>7</v>
      </c>
      <c r="E17" s="16" t="s">
        <v>31</v>
      </c>
      <c r="F17" s="17">
        <f ca="1">TODAY()+15018.5-B5/24</f>
        <v>60339.5</v>
      </c>
    </row>
    <row r="18" spans="1:18" ht="14.25" thickTop="1" thickBot="1" x14ac:dyDescent="0.25">
      <c r="A18" s="18" t="s">
        <v>5</v>
      </c>
      <c r="B18" s="12"/>
      <c r="C18" s="21">
        <f ca="1">+C15</f>
        <v>57996.456154603569</v>
      </c>
      <c r="D18" s="22">
        <f ca="1">+C16</f>
        <v>1.2111756096400779</v>
      </c>
      <c r="E18" s="16" t="s">
        <v>32</v>
      </c>
      <c r="F18" s="17">
        <f ca="1">ROUND(2*(F17-C15)/C16,0)/2+1</f>
        <v>1935.5</v>
      </c>
    </row>
    <row r="19" spans="1:18" ht="13.5" thickTop="1" x14ac:dyDescent="0.2">
      <c r="E19" s="16" t="s">
        <v>33</v>
      </c>
      <c r="F19" s="20">
        <f ca="1">+C15+C16*F18-15018.5-C5/24</f>
        <v>45322.582380395274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48</v>
      </c>
      <c r="I20" s="7" t="s">
        <v>51</v>
      </c>
      <c r="J20" s="7" t="s">
        <v>45</v>
      </c>
      <c r="K20" s="7" t="s">
        <v>43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8" x14ac:dyDescent="0.2">
      <c r="A21" s="28" t="s">
        <v>12</v>
      </c>
      <c r="B21" s="28"/>
      <c r="C21" s="29">
        <v>24026.398000000001</v>
      </c>
      <c r="D21" s="29" t="s">
        <v>14</v>
      </c>
      <c r="E21">
        <f t="shared" ref="E21:E26" si="0">+(C21-C$7)/C$8</f>
        <v>0</v>
      </c>
      <c r="F21">
        <f t="shared" ref="F21:F27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0.21583102830079404</v>
      </c>
      <c r="Q21" s="2">
        <f t="shared" ref="Q21:Q26" si="4">+C21-15018.5</f>
        <v>9007.898000000001</v>
      </c>
    </row>
    <row r="22" spans="1:18" x14ac:dyDescent="0.2">
      <c r="A22" s="46" t="s">
        <v>58</v>
      </c>
      <c r="B22" s="48" t="s">
        <v>39</v>
      </c>
      <c r="C22" s="47">
        <v>52100.453999999998</v>
      </c>
      <c r="D22" s="47" t="s">
        <v>51</v>
      </c>
      <c r="E22">
        <f t="shared" si="0"/>
        <v>23179.037354388231</v>
      </c>
      <c r="F22">
        <f t="shared" si="1"/>
        <v>23179</v>
      </c>
      <c r="G22">
        <f t="shared" si="2"/>
        <v>4.5243000000482425E-2</v>
      </c>
      <c r="I22">
        <f>+G22</f>
        <v>4.5243000000482425E-2</v>
      </c>
      <c r="O22">
        <f t="shared" ca="1" si="3"/>
        <v>4.4529875669856722E-2</v>
      </c>
      <c r="Q22" s="2">
        <f t="shared" si="4"/>
        <v>37081.953999999998</v>
      </c>
    </row>
    <row r="23" spans="1:18" x14ac:dyDescent="0.2">
      <c r="A23" s="30" t="s">
        <v>38</v>
      </c>
      <c r="B23" s="31" t="s">
        <v>39</v>
      </c>
      <c r="C23" s="32">
        <v>53941.434300000001</v>
      </c>
      <c r="D23" s="32">
        <v>1.1999999999999999E-3</v>
      </c>
      <c r="E23">
        <f t="shared" si="0"/>
        <v>24699.022608474526</v>
      </c>
      <c r="F23">
        <f t="shared" si="1"/>
        <v>24699</v>
      </c>
      <c r="G23">
        <f t="shared" si="2"/>
        <v>2.7383000000554603E-2</v>
      </c>
      <c r="K23">
        <f>+G23</f>
        <v>2.7383000000554603E-2</v>
      </c>
      <c r="O23">
        <f t="shared" ca="1" si="3"/>
        <v>3.3296528588488888E-2</v>
      </c>
      <c r="Q23" s="2">
        <f t="shared" si="4"/>
        <v>38922.934300000001</v>
      </c>
      <c r="R23" t="str">
        <f>IF(ABS(C23-C22)&lt;0.00001,1,"")</f>
        <v/>
      </c>
    </row>
    <row r="24" spans="1:18" x14ac:dyDescent="0.2">
      <c r="A24" s="46" t="s">
        <v>70</v>
      </c>
      <c r="B24" s="48" t="s">
        <v>39</v>
      </c>
      <c r="C24" s="47">
        <v>55071.469799999999</v>
      </c>
      <c r="D24" s="47" t="s">
        <v>51</v>
      </c>
      <c r="E24">
        <f t="shared" si="0"/>
        <v>25632.02406242492</v>
      </c>
      <c r="F24">
        <f t="shared" si="1"/>
        <v>25632</v>
      </c>
      <c r="G24">
        <f t="shared" si="2"/>
        <v>2.9144000000087544E-2</v>
      </c>
      <c r="I24">
        <f>+G24</f>
        <v>2.9144000000087544E-2</v>
      </c>
      <c r="O24">
        <f t="shared" ca="1" si="3"/>
        <v>2.640132278130719E-2</v>
      </c>
      <c r="Q24" s="2">
        <f t="shared" si="4"/>
        <v>40052.969799999999</v>
      </c>
    </row>
    <row r="25" spans="1:18" x14ac:dyDescent="0.2">
      <c r="A25" s="46" t="s">
        <v>76</v>
      </c>
      <c r="B25" s="48" t="s">
        <v>39</v>
      </c>
      <c r="C25" s="47">
        <v>55799.388599999998</v>
      </c>
      <c r="D25" s="47" t="s">
        <v>51</v>
      </c>
      <c r="E25">
        <f t="shared" si="0"/>
        <v>26233.02226005484</v>
      </c>
      <c r="F25">
        <f t="shared" si="1"/>
        <v>26233</v>
      </c>
      <c r="G25">
        <f t="shared" si="2"/>
        <v>2.6961000003211666E-2</v>
      </c>
      <c r="I25">
        <f>+G25</f>
        <v>2.6961000003211666E-2</v>
      </c>
      <c r="O25">
        <f t="shared" ca="1" si="3"/>
        <v>2.1959716468213736E-2</v>
      </c>
      <c r="Q25" s="2">
        <f t="shared" si="4"/>
        <v>40780.888599999998</v>
      </c>
    </row>
    <row r="26" spans="1:18" x14ac:dyDescent="0.2">
      <c r="A26" s="49" t="s">
        <v>40</v>
      </c>
      <c r="B26" s="31" t="s">
        <v>39</v>
      </c>
      <c r="C26" s="29">
        <v>55879.321550000001</v>
      </c>
      <c r="D26" s="29"/>
      <c r="E26">
        <f t="shared" si="0"/>
        <v>26299.018026177713</v>
      </c>
      <c r="F26">
        <f t="shared" si="1"/>
        <v>26299</v>
      </c>
      <c r="G26">
        <f t="shared" si="2"/>
        <v>2.1832999998878222E-2</v>
      </c>
      <c r="K26">
        <f>+G26</f>
        <v>2.1832999998878222E-2</v>
      </c>
      <c r="O26">
        <f t="shared" ca="1" si="3"/>
        <v>2.1471952713364856E-2</v>
      </c>
      <c r="Q26" s="2">
        <f t="shared" si="4"/>
        <v>40860.821550000001</v>
      </c>
    </row>
    <row r="27" spans="1:18" x14ac:dyDescent="0.2">
      <c r="A27" s="50" t="s">
        <v>83</v>
      </c>
      <c r="B27" s="51" t="s">
        <v>39</v>
      </c>
      <c r="C27" s="52">
        <v>57996.453249999788</v>
      </c>
      <c r="D27" s="52">
        <v>2.0000000000000001E-4</v>
      </c>
      <c r="E27">
        <f>+(C27-C$7)/C$8</f>
        <v>28047.004664034906</v>
      </c>
      <c r="F27">
        <f t="shared" si="1"/>
        <v>28047</v>
      </c>
      <c r="G27">
        <f>+C27-(C$7+F27*C$8)</f>
        <v>5.6489997878088616E-3</v>
      </c>
      <c r="K27">
        <f>+G27</f>
        <v>5.6489997878088616E-3</v>
      </c>
      <c r="O27">
        <f ca="1">+C$11+C$12*$F27</f>
        <v>8.5536035697918733E-3</v>
      </c>
      <c r="Q27" s="2">
        <f>+C27-15018.5</f>
        <v>42977.953249999788</v>
      </c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7:D27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3"/>
  <sheetViews>
    <sheetView workbookViewId="0">
      <selection activeCell="A14" sqref="A14:D1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41</v>
      </c>
      <c r="I1" s="34" t="s">
        <v>42</v>
      </c>
      <c r="J1" s="35" t="s">
        <v>43</v>
      </c>
    </row>
    <row r="2" spans="1:16" x14ac:dyDescent="0.2">
      <c r="I2" s="36" t="s">
        <v>44</v>
      </c>
      <c r="J2" s="37" t="s">
        <v>45</v>
      </c>
    </row>
    <row r="3" spans="1:16" x14ac:dyDescent="0.2">
      <c r="A3" s="38" t="s">
        <v>46</v>
      </c>
      <c r="I3" s="36" t="s">
        <v>47</v>
      </c>
      <c r="J3" s="37" t="s">
        <v>48</v>
      </c>
    </row>
    <row r="4" spans="1:16" x14ac:dyDescent="0.2">
      <c r="I4" s="36" t="s">
        <v>49</v>
      </c>
      <c r="J4" s="37" t="s">
        <v>48</v>
      </c>
    </row>
    <row r="5" spans="1:16" ht="13.5" thickBot="1" x14ac:dyDescent="0.25">
      <c r="I5" s="39" t="s">
        <v>50</v>
      </c>
      <c r="J5" s="40" t="s">
        <v>51</v>
      </c>
    </row>
    <row r="11" spans="1:16" ht="13.5" thickBot="1" x14ac:dyDescent="0.25"/>
    <row r="12" spans="1:16" ht="12.75" customHeight="1" thickBot="1" x14ac:dyDescent="0.25">
      <c r="A12" s="10" t="str">
        <f>P12</f>
        <v> BBS 133 (=IBVS 5781) </v>
      </c>
      <c r="B12" s="3" t="str">
        <f>IF(H12=INT(H12),"I","II")</f>
        <v>I</v>
      </c>
      <c r="C12" s="10">
        <f>1*G12</f>
        <v>53941.434300000001</v>
      </c>
      <c r="D12" s="12" t="str">
        <f>VLOOKUP(F12,I$1:J$5,2,FALSE)</f>
        <v>vis</v>
      </c>
      <c r="E12" s="41">
        <f>VLOOKUP(C12,Active!C$21:E$973,3,FALSE)</f>
        <v>24699.022608474526</v>
      </c>
      <c r="F12" s="3" t="s">
        <v>50</v>
      </c>
      <c r="G12" s="12" t="str">
        <f>MID(I12,3,LEN(I12)-3)</f>
        <v>53941.4343</v>
      </c>
      <c r="H12" s="10">
        <f>1*K12</f>
        <v>24699</v>
      </c>
      <c r="I12" s="42" t="s">
        <v>59</v>
      </c>
      <c r="J12" s="43" t="s">
        <v>60</v>
      </c>
      <c r="K12" s="42">
        <v>24699</v>
      </c>
      <c r="L12" s="42" t="s">
        <v>61</v>
      </c>
      <c r="M12" s="43" t="s">
        <v>62</v>
      </c>
      <c r="N12" s="43" t="s">
        <v>50</v>
      </c>
      <c r="O12" s="44" t="s">
        <v>63</v>
      </c>
      <c r="P12" s="44" t="s">
        <v>64</v>
      </c>
    </row>
    <row r="13" spans="1:16" ht="12.75" customHeight="1" thickBot="1" x14ac:dyDescent="0.25">
      <c r="A13" s="10" t="str">
        <f>P13</f>
        <v>OEJV 0160 </v>
      </c>
      <c r="B13" s="3" t="str">
        <f>IF(H13=INT(H13),"I","II")</f>
        <v>I</v>
      </c>
      <c r="C13" s="10">
        <f>1*G13</f>
        <v>55879.321550000001</v>
      </c>
      <c r="D13" s="12" t="str">
        <f>VLOOKUP(F13,I$1:J$5,2,FALSE)</f>
        <v>vis</v>
      </c>
      <c r="E13" s="41">
        <f>VLOOKUP(C13,Active!C$21:E$973,3,FALSE)</f>
        <v>26299.018026177713</v>
      </c>
      <c r="F13" s="3" t="s">
        <v>50</v>
      </c>
      <c r="G13" s="12" t="str">
        <f>MID(I13,3,LEN(I13)-3)</f>
        <v>55879.32155</v>
      </c>
      <c r="H13" s="10">
        <f>1*K13</f>
        <v>26299</v>
      </c>
      <c r="I13" s="42" t="s">
        <v>77</v>
      </c>
      <c r="J13" s="43" t="s">
        <v>78</v>
      </c>
      <c r="K13" s="42" t="s">
        <v>79</v>
      </c>
      <c r="L13" s="42" t="s">
        <v>80</v>
      </c>
      <c r="M13" s="43" t="s">
        <v>62</v>
      </c>
      <c r="N13" s="43" t="s">
        <v>42</v>
      </c>
      <c r="O13" s="44" t="s">
        <v>81</v>
      </c>
      <c r="P13" s="45" t="s">
        <v>82</v>
      </c>
    </row>
    <row r="14" spans="1:16" ht="12.75" customHeight="1" thickBot="1" x14ac:dyDescent="0.25">
      <c r="A14" s="10" t="str">
        <f>P14</f>
        <v>BAVM 212 </v>
      </c>
      <c r="B14" s="3" t="str">
        <f>IF(H14=INT(H14),"I","II")</f>
        <v>I</v>
      </c>
      <c r="C14" s="10">
        <f>1*G14</f>
        <v>55071.469799999999</v>
      </c>
      <c r="D14" s="12" t="str">
        <f>VLOOKUP(F14,I$1:J$5,2,FALSE)</f>
        <v>vis</v>
      </c>
      <c r="E14" s="41">
        <f>VLOOKUP(C14,Active!C$21:E$973,3,FALSE)</f>
        <v>25632.02406242492</v>
      </c>
      <c r="F14" s="3" t="s">
        <v>50</v>
      </c>
      <c r="G14" s="12" t="str">
        <f>MID(I14,3,LEN(I14)-3)</f>
        <v>55071.4698</v>
      </c>
      <c r="H14" s="10">
        <f>1*K14</f>
        <v>25632</v>
      </c>
      <c r="I14" s="42" t="s">
        <v>65</v>
      </c>
      <c r="J14" s="43" t="s">
        <v>66</v>
      </c>
      <c r="K14" s="42">
        <v>25632</v>
      </c>
      <c r="L14" s="42" t="s">
        <v>67</v>
      </c>
      <c r="M14" s="43" t="s">
        <v>62</v>
      </c>
      <c r="N14" s="43" t="s">
        <v>68</v>
      </c>
      <c r="O14" s="44" t="s">
        <v>69</v>
      </c>
      <c r="P14" s="45" t="s">
        <v>70</v>
      </c>
    </row>
    <row r="15" spans="1:16" ht="12.75" customHeight="1" thickBot="1" x14ac:dyDescent="0.25">
      <c r="A15" s="10" t="str">
        <f>P15</f>
        <v>BAVM 225 </v>
      </c>
      <c r="B15" s="3" t="str">
        <f>IF(H15=INT(H15),"I","II")</f>
        <v>I</v>
      </c>
      <c r="C15" s="10">
        <f>1*G15</f>
        <v>55799.388599999998</v>
      </c>
      <c r="D15" s="12" t="str">
        <f>VLOOKUP(F15,I$1:J$5,2,FALSE)</f>
        <v>vis</v>
      </c>
      <c r="E15" s="41">
        <f>VLOOKUP(C15,Active!C$21:E$973,3,FALSE)</f>
        <v>26233.02226005484</v>
      </c>
      <c r="F15" s="3" t="s">
        <v>50</v>
      </c>
      <c r="G15" s="12" t="str">
        <f>MID(I15,3,LEN(I15)-3)</f>
        <v>55799.3886</v>
      </c>
      <c r="H15" s="10">
        <f>1*K15</f>
        <v>26233</v>
      </c>
      <c r="I15" s="42" t="s">
        <v>71</v>
      </c>
      <c r="J15" s="43" t="s">
        <v>72</v>
      </c>
      <c r="K15" s="42">
        <v>26233</v>
      </c>
      <c r="L15" s="42" t="s">
        <v>73</v>
      </c>
      <c r="M15" s="43" t="s">
        <v>62</v>
      </c>
      <c r="N15" s="43" t="s">
        <v>74</v>
      </c>
      <c r="O15" s="44" t="s">
        <v>75</v>
      </c>
      <c r="P15" s="45" t="s">
        <v>76</v>
      </c>
    </row>
    <row r="16" spans="1:16" ht="12.75" customHeight="1" thickBot="1" x14ac:dyDescent="0.25">
      <c r="A16" s="10" t="str">
        <f>P16</f>
        <v> BBS 126 </v>
      </c>
      <c r="B16" s="3" t="str">
        <f>IF(H16=INT(H16),"I","II")</f>
        <v>I</v>
      </c>
      <c r="C16" s="10">
        <f>1*G16</f>
        <v>52100.453999999998</v>
      </c>
      <c r="D16" s="12" t="str">
        <f>VLOOKUP(F16,I$1:J$5,2,FALSE)</f>
        <v>vis</v>
      </c>
      <c r="E16" s="41">
        <f>VLOOKUP(C16,Active!C$21:E$973,3,FALSE)</f>
        <v>23179.037354388231</v>
      </c>
      <c r="F16" s="3" t="s">
        <v>50</v>
      </c>
      <c r="G16" s="12" t="str">
        <f>MID(I16,3,LEN(I16)-3)</f>
        <v>52100.454</v>
      </c>
      <c r="H16" s="10">
        <f>1*K16</f>
        <v>23179</v>
      </c>
      <c r="I16" s="42" t="s">
        <v>52</v>
      </c>
      <c r="J16" s="43" t="s">
        <v>53</v>
      </c>
      <c r="K16" s="42">
        <v>23179</v>
      </c>
      <c r="L16" s="42" t="s">
        <v>54</v>
      </c>
      <c r="M16" s="43" t="s">
        <v>55</v>
      </c>
      <c r="N16" s="43" t="s">
        <v>56</v>
      </c>
      <c r="O16" s="44" t="s">
        <v>57</v>
      </c>
      <c r="P16" s="44" t="s">
        <v>58</v>
      </c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</sheetData>
  <phoneticPr fontId="7" type="noConversion"/>
  <hyperlinks>
    <hyperlink ref="P14" r:id="rId1" display="http://www.bav-astro.de/sfs/BAVM_link.php?BAVMnr=212"/>
    <hyperlink ref="P15" r:id="rId2" display="http://www.bav-astro.de/sfs/BAVM_link.php?BAVMnr=225"/>
    <hyperlink ref="P13" r:id="rId3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2024-01-30T06:35:43Z</dcterms:modified>
</cp:coreProperties>
</file>