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92CA6CA-1052-485F-BC46-0A64973D95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D9" i="1"/>
  <c r="C9" i="1"/>
  <c r="Q24" i="1"/>
  <c r="G13" i="2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B12" i="2"/>
  <c r="D12" i="2"/>
  <c r="A12" i="2"/>
  <c r="H11" i="2"/>
  <c r="D11" i="2"/>
  <c r="B11" i="2"/>
  <c r="A11" i="2"/>
  <c r="E21" i="1"/>
  <c r="F21" i="1"/>
  <c r="F16" i="1"/>
  <c r="F17" i="1" s="1"/>
  <c r="Q26" i="1"/>
  <c r="Q25" i="1"/>
  <c r="C17" i="1"/>
  <c r="Q22" i="1"/>
  <c r="Q23" i="1"/>
  <c r="G21" i="1"/>
  <c r="H21" i="1"/>
  <c r="Q21" i="1"/>
  <c r="G26" i="1"/>
  <c r="K26" i="1"/>
  <c r="E22" i="1"/>
  <c r="F22" i="1"/>
  <c r="G22" i="1"/>
  <c r="K22" i="1"/>
  <c r="C11" i="1"/>
  <c r="C12" i="1"/>
  <c r="C16" i="1" l="1"/>
  <c r="D18" i="1" s="1"/>
  <c r="O24" i="1"/>
  <c r="O22" i="1"/>
  <c r="O23" i="1"/>
  <c r="O21" i="1"/>
  <c r="O26" i="1"/>
  <c r="O25" i="1"/>
  <c r="C15" i="1"/>
  <c r="C18" i="1" l="1"/>
  <c r="F18" i="1"/>
  <c r="F19" i="1" s="1"/>
</calcChain>
</file>

<file path=xl/sharedStrings.xml><?xml version="1.0" encoding="utf-8"?>
<sst xmlns="http://schemas.openxmlformats.org/spreadsheetml/2006/main" count="90" uniqueCount="74">
  <si>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</si>
  <si>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</si>
  <si>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</si>
  <si>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</si>
  <si>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</si>
  <si>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</si>
  <si>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</si>
  <si>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</si>
  <si>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</si>
  <si>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</si>
  <si>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</si>
  <si>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</si>
  <si>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</si>
  <si>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</si>
  <si>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</si>
  <si>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</si>
  <si>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</si>
  <si>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</si>
  <si>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</si>
  <si>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</si>
  <si>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</si>
  <si>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</si>
  <si>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</si>
  <si>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</si>
  <si>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</si>
  <si>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</si>
  <si>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</si>
  <si>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</si>
  <si>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5657</t>
  </si>
  <si>
    <t>PY Cyg / na</t>
  </si>
  <si>
    <t>OEJV 0074</t>
  </si>
  <si>
    <t>I</t>
  </si>
  <si>
    <t>CCD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</si>
  <si>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</si>
  <si>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</si>
  <si>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</si>
  <si>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</si>
  <si>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</si>
  <si>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</si>
  <si>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</si>
  <si>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EW</t>
  </si>
  <si>
    <t>IBVS 5945</t>
  </si>
  <si>
    <t>IBVS 6094</t>
  </si>
  <si>
    <t>i</t>
  </si>
  <si>
    <t>Add cycle</t>
  </si>
  <si>
    <t>Old Cycle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</si>
  <si>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</si>
  <si>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</si>
  <si>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</si>
  <si>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</si>
  <si>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</si>
  <si>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</si>
  <si>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</si>
  <si>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</si>
  <si>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</si>
  <si>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</si>
  <si>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2453258.4884 </t>
  </si>
  <si>
    <t> 09.09.2004 23:43 </t>
  </si>
  <si>
    <t> 0.1171 </t>
  </si>
  <si>
    <t>E </t>
  </si>
  <si>
    <t>o</t>
  </si>
  <si>
    <t> F.Agerer </t>
  </si>
  <si>
    <t>BAVM 173 </t>
  </si>
  <si>
    <t>2455358.8579 </t>
  </si>
  <si>
    <t> 11.06.2010 08:35 </t>
  </si>
  <si>
    <t> -0.0567 </t>
  </si>
  <si>
    <t>C </t>
  </si>
  <si>
    <t> R.Diethelm </t>
  </si>
  <si>
    <t>IBVS 5945 </t>
  </si>
  <si>
    <t>2456498.4447 </t>
  </si>
  <si>
    <t> 24.07.2013 22:40 </t>
  </si>
  <si>
    <t> -0.0273 </t>
  </si>
  <si>
    <t> N.Ruocco </t>
  </si>
  <si>
    <t>IBVS 6094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</si>
</sst>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/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2" fillId="2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6" fillId="3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Cyg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E-470F-9A74-C3499E1964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E-470F-9A74-C3499E1964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E-470F-9A74-C3499E1964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-0.33314489999611396</c:v>
                </c:pt>
                <c:pt idx="2">
                  <c:v>-0.34796300000016345</c:v>
                </c:pt>
                <c:pt idx="3">
                  <c:v>-0.34796300000016345</c:v>
                </c:pt>
                <c:pt idx="4">
                  <c:v>-0.28916790000221226</c:v>
                </c:pt>
                <c:pt idx="5">
                  <c:v>-0.25985320000472711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E-470F-9A74-C3499E1964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E-470F-9A74-C3499E1964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E-470F-9A74-C3499E1964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E-470F-9A74-C3499E1964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60416.5</c:v>
                </c:pt>
                <c:pt idx="2">
                  <c:v>62855</c:v>
                </c:pt>
                <c:pt idx="3">
                  <c:v>62855</c:v>
                </c:pt>
                <c:pt idx="4">
                  <c:v>67371.5</c:v>
                </c:pt>
                <c:pt idx="5">
                  <c:v>69822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-0.92413828880521853</c:v>
                </c:pt>
                <c:pt idx="1">
                  <c:v>-0.35558945387450525</c:v>
                </c:pt>
                <c:pt idx="2">
                  <c:v>-0.3326419753880232</c:v>
                </c:pt>
                <c:pt idx="3">
                  <c:v>-0.3326419753880232</c:v>
                </c:pt>
                <c:pt idx="4">
                  <c:v>-0.29013949985626342</c:v>
                </c:pt>
                <c:pt idx="5">
                  <c:v>-0.26707909549656506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6E-470F-9A74-C3499E196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90664"/>
        <c:axId val="1"/>
      </c:scatterChart>
      <c:valAx>
        <c:axId val="58399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99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0E9663E-B6BB-8E2A-AAAF-87E7839D2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konkoly.hu/cgi-bin/IBVS?5945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x14ac:dyDescent="0.2">
      <c r="A2" t="s">
        <v>24</v>
      </c>
      <c r="B2" t="s">
        <v>40</v>
      </c>
    </row>
    <row r="4" spans="1:6" ht="14.25" thickTop="1" thickBot="1" x14ac:dyDescent="0.25">
      <c r="A4" s="7" t="s">
        <v>0</v>
      </c>
      <c r="C4" s="3">
        <v>24029.338</v>
      </c>
      <c r="D4" s="4">
        <v>0.46503060000000002</v>
      </c>
    </row>
    <row r="5" spans="1:6" ht="13.5" thickTop="1" x14ac:dyDescent="0.2">
      <c r="A5" s="14" t="s">
        <v>33</v>
      </c>
      <c r="B5" s="15"/>
      <c r="C5" s="16">
        <v>-9.5</v>
      </c>
      <c r="D5" s="15" t="s">
        <v>34</v>
      </c>
    </row>
    <row r="6" spans="1:6" x14ac:dyDescent="0.2">
      <c r="A6" s="7" t="s">
        <v>1</v>
      </c>
    </row>
    <row r="7" spans="1:6" x14ac:dyDescent="0.2">
      <c r="A7" t="s">
        <v>2</v>
      </c>
      <c r="C7" s="54">
        <f>C4</f>
        <v>24029.338</v>
      </c>
    </row>
    <row r="8" spans="1:6" x14ac:dyDescent="0.2">
      <c r="A8" t="s">
        <v>3</v>
      </c>
      <c r="C8" s="13">
        <v>0.46503060000000002</v>
      </c>
    </row>
    <row r="9" spans="1:6" x14ac:dyDescent="0.2">
      <c r="A9" s="29" t="s">
        <v>39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17">
        <f ca="1">INTERCEPT(INDIRECT($D$9):G990,INDIRECT($C$9):F990)</f>
        <v>-0.92413828880521853</v>
      </c>
      <c r="D11" s="5"/>
      <c r="E11" s="15"/>
    </row>
    <row r="12" spans="1:6" x14ac:dyDescent="0.2">
      <c r="A12" s="15" t="s">
        <v>17</v>
      </c>
      <c r="B12" s="15"/>
      <c r="C12" s="17">
        <f ca="1">SLOPE(INDIRECT($D$9):G990,INDIRECT($C$9):F990)</f>
        <v>9.4104894346861081E-6</v>
      </c>
      <c r="D12" s="5"/>
      <c r="E12" s="15"/>
    </row>
    <row r="13" spans="1:6" x14ac:dyDescent="0.2">
      <c r="A13" s="15" t="s">
        <v>19</v>
      </c>
      <c r="B13" s="15"/>
      <c r="C13" s="5" t="s">
        <v>14</v>
      </c>
    </row>
    <row r="14" spans="1:6" x14ac:dyDescent="0.2">
      <c r="A14" s="15"/>
      <c r="B14" s="15"/>
      <c r="C14" s="15"/>
    </row>
    <row r="15" spans="1:6" x14ac:dyDescent="0.2">
      <c r="A15" s="20" t="s">
        <v>18</v>
      </c>
      <c r="B15" s="15"/>
      <c r="C15" s="21">
        <f ca="1">(C7+C11)+(C8+C12)*INT(MAX(F21:F3531))</f>
        <v>56498.437474104503</v>
      </c>
      <c r="E15" s="22" t="s">
        <v>44</v>
      </c>
      <c r="F15" s="16">
        <v>1</v>
      </c>
    </row>
    <row r="16" spans="1:6" x14ac:dyDescent="0.2">
      <c r="A16" s="24" t="s">
        <v>4</v>
      </c>
      <c r="B16" s="15"/>
      <c r="C16" s="25">
        <f ca="1">+C8+C12</f>
        <v>0.46504001048943472</v>
      </c>
      <c r="E16" s="22" t="s">
        <v>35</v>
      </c>
      <c r="F16" s="23">
        <f ca="1">NOW()+15018.5+$C$5/24</f>
        <v>60339.817727893518</v>
      </c>
    </row>
    <row r="17" spans="1:17" ht="13.5" thickBot="1" x14ac:dyDescent="0.25">
      <c r="A17" s="22" t="s">
        <v>37</v>
      </c>
      <c r="B17" s="15"/>
      <c r="C17" s="15">
        <f>COUNT(C21:C2189)</f>
        <v>6</v>
      </c>
      <c r="E17" s="22" t="s">
        <v>45</v>
      </c>
      <c r="F17" s="23">
        <f ca="1">ROUND(2*(F16-$C$7)/$C$8,0)/2+F15</f>
        <v>78083</v>
      </c>
    </row>
    <row r="18" spans="1:17" ht="14.25" thickTop="1" thickBot="1" x14ac:dyDescent="0.25">
      <c r="A18" s="24" t="s">
        <v>5</v>
      </c>
      <c r="B18" s="15"/>
      <c r="C18" s="27">
        <f ca="1">+C15</f>
        <v>56498.437474104503</v>
      </c>
      <c r="D18" s="28">
        <f ca="1">+C16</f>
        <v>0.46504001048943472</v>
      </c>
      <c r="E18" s="22" t="s">
        <v>36</v>
      </c>
      <c r="F18" s="19">
        <f ca="1">ROUND(2*(F16-$C$15)/$C$16,0)/2+F15</f>
        <v>8261.5</v>
      </c>
    </row>
    <row r="19" spans="1:17" ht="13.5" thickTop="1" x14ac:dyDescent="0.2">
      <c r="E19" s="22" t="s">
        <v>38</v>
      </c>
      <c r="F19" s="26">
        <f ca="1">+$C$15+$C$16*F18-15018.5-$C$5/24</f>
        <v>45322.261354096307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52</v>
      </c>
      <c r="I20" s="9" t="s">
        <v>55</v>
      </c>
      <c r="J20" s="9" t="s">
        <v>49</v>
      </c>
      <c r="K20" s="9" t="s">
        <v>32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10" t="s">
        <v>12</v>
      </c>
      <c r="B21" s="11"/>
      <c r="C21" s="12">
        <v>24029.338</v>
      </c>
      <c r="D21" s="12"/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-0.92413828880521853</v>
      </c>
      <c r="Q21" s="2">
        <f t="shared" ref="Q21:Q26" si="3">+C21-15018.5</f>
        <v>9010.8379999999997</v>
      </c>
    </row>
    <row r="22" spans="1:17" x14ac:dyDescent="0.2">
      <c r="A22" s="32" t="s">
        <v>30</v>
      </c>
      <c r="B22" s="33" t="s">
        <v>31</v>
      </c>
      <c r="C22" s="32">
        <v>52124.526100000003</v>
      </c>
      <c r="D22" s="32" t="s">
        <v>32</v>
      </c>
      <c r="E22">
        <f t="shared" si="0"/>
        <v>60415.78360649816</v>
      </c>
      <c r="F22" s="31">
        <f>ROUND(2*E22,0)/2+0.5</f>
        <v>60416.5</v>
      </c>
      <c r="G22">
        <f t="shared" si="1"/>
        <v>-0.33314489999611396</v>
      </c>
      <c r="K22">
        <f>+G22</f>
        <v>-0.33314489999611396</v>
      </c>
      <c r="O22">
        <f t="shared" ca="1" si="2"/>
        <v>-0.35558945387450525</v>
      </c>
      <c r="Q22" s="2">
        <f t="shared" si="3"/>
        <v>37106.026100000003</v>
      </c>
    </row>
    <row r="23" spans="1:17" x14ac:dyDescent="0.2">
      <c r="A23" s="10" t="s">
        <v>28</v>
      </c>
      <c r="B23" s="11"/>
      <c r="C23" s="12">
        <v>53258.488400000002</v>
      </c>
      <c r="D23" s="12">
        <v>3.5000000000000001E-3</v>
      </c>
      <c r="E23">
        <f t="shared" si="0"/>
        <v>62854.251741713342</v>
      </c>
      <c r="F23" s="31">
        <f>ROUND(2*E23,0)/2+0.5</f>
        <v>62855</v>
      </c>
      <c r="G23">
        <f t="shared" si="1"/>
        <v>-0.34796300000016345</v>
      </c>
      <c r="K23">
        <f>+G23</f>
        <v>-0.34796300000016345</v>
      </c>
      <c r="O23">
        <f t="shared" ca="1" si="2"/>
        <v>-0.3326419753880232</v>
      </c>
      <c r="Q23" s="2">
        <f t="shared" si="3"/>
        <v>38239.988400000002</v>
      </c>
    </row>
    <row r="24" spans="1:17" x14ac:dyDescent="0.2">
      <c r="A24" s="52" t="s">
        <v>62</v>
      </c>
      <c r="B24" s="53" t="s">
        <v>31</v>
      </c>
      <c r="C24" s="52">
        <v>53258.488400000002</v>
      </c>
      <c r="D24" s="52" t="s">
        <v>55</v>
      </c>
      <c r="E24">
        <f t="shared" si="0"/>
        <v>62854.251741713342</v>
      </c>
      <c r="F24" s="31">
        <f>ROUND(2*E24,0)/2+0.5</f>
        <v>62855</v>
      </c>
      <c r="G24">
        <f t="shared" si="1"/>
        <v>-0.34796300000016345</v>
      </c>
      <c r="K24">
        <f>+G24</f>
        <v>-0.34796300000016345</v>
      </c>
      <c r="O24">
        <f t="shared" ca="1" si="2"/>
        <v>-0.3326419753880232</v>
      </c>
      <c r="Q24" s="2">
        <f t="shared" si="3"/>
        <v>38239.988400000002</v>
      </c>
    </row>
    <row r="25" spans="1:17" x14ac:dyDescent="0.2">
      <c r="A25" s="34" t="s">
        <v>41</v>
      </c>
      <c r="B25" s="35" t="s">
        <v>31</v>
      </c>
      <c r="C25" s="34">
        <v>55358.857900000003</v>
      </c>
      <c r="D25" s="34">
        <v>4.0000000000000002E-4</v>
      </c>
      <c r="E25">
        <f t="shared" si="0"/>
        <v>67370.878174468526</v>
      </c>
      <c r="F25" s="31">
        <f>ROUND(2*E25,0)/2+0.5</f>
        <v>67371.5</v>
      </c>
      <c r="G25">
        <f t="shared" si="1"/>
        <v>-0.28916790000221226</v>
      </c>
      <c r="K25">
        <f>+G25</f>
        <v>-0.28916790000221226</v>
      </c>
      <c r="O25">
        <f t="shared" ca="1" si="2"/>
        <v>-0.29013949985626342</v>
      </c>
      <c r="Q25" s="2">
        <f t="shared" si="3"/>
        <v>40340.357900000003</v>
      </c>
    </row>
    <row r="26" spans="1:17" x14ac:dyDescent="0.2">
      <c r="A26" s="36" t="s">
        <v>42</v>
      </c>
      <c r="B26" s="37" t="s">
        <v>43</v>
      </c>
      <c r="C26" s="38">
        <v>56498.4447</v>
      </c>
      <c r="D26" s="38">
        <v>2.7000000000000001E-3</v>
      </c>
      <c r="E26">
        <f t="shared" si="0"/>
        <v>69821.441212685793</v>
      </c>
      <c r="F26" s="31">
        <f>ROUND(2*E26,0)/2+0.5</f>
        <v>69822</v>
      </c>
      <c r="G26">
        <f t="shared" si="1"/>
        <v>-0.25985320000472711</v>
      </c>
      <c r="K26">
        <f>+G26</f>
        <v>-0.25985320000472711</v>
      </c>
      <c r="O26">
        <f t="shared" ca="1" si="2"/>
        <v>-0.26707909549656506</v>
      </c>
      <c r="Q26" s="2">
        <f t="shared" si="3"/>
        <v>41479.9447</v>
      </c>
    </row>
    <row r="27" spans="1:17" x14ac:dyDescent="0.2">
      <c r="B27" s="5"/>
      <c r="D27" s="5"/>
      <c r="Q27" s="2"/>
    </row>
    <row r="28" spans="1:17" x14ac:dyDescent="0.2">
      <c r="B28" s="5"/>
      <c r="D28" s="5"/>
      <c r="Q28" s="2"/>
    </row>
    <row r="29" spans="1:17" x14ac:dyDescent="0.2">
      <c r="D29" s="5"/>
      <c r="Q29" s="2"/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</row>
    <row r="33" spans="4:4" x14ac:dyDescent="0.2">
      <c r="D33" s="5"/>
    </row>
    <row r="34" spans="4:4" x14ac:dyDescent="0.2">
      <c r="D34" s="5"/>
    </row>
    <row r="35" spans="4:4" x14ac:dyDescent="0.2">
      <c r="D35" s="5"/>
    </row>
    <row r="36" spans="4:4" x14ac:dyDescent="0.2">
      <c r="D36" s="5"/>
    </row>
    <row r="37" spans="4:4" x14ac:dyDescent="0.2">
      <c r="D37" s="5"/>
    </row>
    <row r="38" spans="4:4" x14ac:dyDescent="0.2">
      <c r="D38" s="5"/>
    </row>
    <row r="39" spans="4:4" x14ac:dyDescent="0.2">
      <c r="D39" s="5"/>
    </row>
    <row r="40" spans="4:4" x14ac:dyDescent="0.2">
      <c r="D40" s="5"/>
    </row>
    <row r="41" spans="4:4" x14ac:dyDescent="0.2">
      <c r="D41" s="5"/>
    </row>
    <row r="42" spans="4:4" x14ac:dyDescent="0.2">
      <c r="D42" s="5"/>
    </row>
    <row r="43" spans="4:4" x14ac:dyDescent="0.2">
      <c r="D43" s="5"/>
    </row>
    <row r="44" spans="4:4" x14ac:dyDescent="0.2">
      <c r="D44" s="5"/>
    </row>
    <row r="45" spans="4:4" x14ac:dyDescent="0.2">
      <c r="D45" s="5"/>
    </row>
    <row r="46" spans="4:4" x14ac:dyDescent="0.2">
      <c r="D46" s="5"/>
    </row>
    <row r="47" spans="4:4" x14ac:dyDescent="0.2">
      <c r="D47" s="5"/>
    </row>
    <row r="48" spans="4:4" x14ac:dyDescent="0.2">
      <c r="D48" s="5"/>
    </row>
    <row r="49" spans="4:4" x14ac:dyDescent="0.2">
      <c r="D49" s="5"/>
    </row>
    <row r="50" spans="4:4" x14ac:dyDescent="0.2">
      <c r="D50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9"/>
  <sheetViews>
    <sheetView workbookViewId="0">
      <selection activeCell="A11" sqref="A11:D13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46</v>
      </c>
      <c r="I1" s="40" t="s">
        <v>47</v>
      </c>
      <c r="J1" s="41" t="s">
        <v>32</v>
      </c>
    </row>
    <row r="2" spans="1:16" x14ac:dyDescent="0.2">
      <c r="I2" s="42" t="s">
        <v>48</v>
      </c>
      <c r="J2" s="43" t="s">
        <v>49</v>
      </c>
    </row>
    <row r="3" spans="1:16" x14ac:dyDescent="0.2">
      <c r="A3" s="44" t="s">
        <v>50</v>
      </c>
      <c r="I3" s="42" t="s">
        <v>51</v>
      </c>
      <c r="J3" s="43" t="s">
        <v>52</v>
      </c>
    </row>
    <row r="4" spans="1:16" x14ac:dyDescent="0.2">
      <c r="I4" s="42" t="s">
        <v>53</v>
      </c>
      <c r="J4" s="43" t="s">
        <v>52</v>
      </c>
    </row>
    <row r="5" spans="1:16" ht="13.5" thickBot="1" x14ac:dyDescent="0.25">
      <c r="I5" s="45" t="s">
        <v>54</v>
      </c>
      <c r="J5" s="46" t="s">
        <v>55</v>
      </c>
    </row>
    <row r="10" spans="1:16" ht="13.5" thickBot="1" x14ac:dyDescent="0.25"/>
    <row r="11" spans="1:16" ht="12.75" customHeight="1" thickBot="1" x14ac:dyDescent="0.25">
      <c r="A11" s="12" t="str">
        <f>P11</f>
        <v>BAVM 173 </v>
      </c>
      <c r="B11" s="5" t="str">
        <f>IF(H11=INT(H11),"I","II")</f>
        <v>I</v>
      </c>
      <c r="C11" s="12">
        <f>1*G11</f>
        <v>53258.488400000002</v>
      </c>
      <c r="D11" s="15" t="str">
        <f>VLOOKUP(F11,I$1:J$5,2,FALSE)</f>
        <v>vis</v>
      </c>
      <c r="E11" s="47">
        <f>VLOOKUP(C11,Active!C$21:E$971,3,FALSE)</f>
        <v>62854.251741713342</v>
      </c>
      <c r="F11" s="5" t="s">
        <v>54</v>
      </c>
      <c r="G11" s="15" t="str">
        <f>MID(I11,3,LEN(I11)-3)</f>
        <v>53258.4884</v>
      </c>
      <c r="H11" s="12">
        <f>1*K11</f>
        <v>62854</v>
      </c>
      <c r="I11" s="48" t="s">
        <v>56</v>
      </c>
      <c r="J11" s="49" t="s">
        <v>57</v>
      </c>
      <c r="K11" s="48">
        <v>62854</v>
      </c>
      <c r="L11" s="48" t="s">
        <v>58</v>
      </c>
      <c r="M11" s="49" t="s">
        <v>59</v>
      </c>
      <c r="N11" s="49" t="s">
        <v>60</v>
      </c>
      <c r="O11" s="50" t="s">
        <v>61</v>
      </c>
      <c r="P11" s="51" t="s">
        <v>62</v>
      </c>
    </row>
    <row r="12" spans="1:16" ht="12.75" customHeight="1" thickBot="1" x14ac:dyDescent="0.25">
      <c r="A12" s="12" t="str">
        <f>P12</f>
        <v>IBVS 5945 </v>
      </c>
      <c r="B12" s="5" t="str">
        <f>IF(H12=INT(H12),"I","II")</f>
        <v>I</v>
      </c>
      <c r="C12" s="12">
        <f>1*G12</f>
        <v>55358.857900000003</v>
      </c>
      <c r="D12" s="15" t="str">
        <f>VLOOKUP(F12,I$1:J$5,2,FALSE)</f>
        <v>vis</v>
      </c>
      <c r="E12" s="47">
        <f>VLOOKUP(C12,Active!C$21:E$971,3,FALSE)</f>
        <v>67370.878174468526</v>
      </c>
      <c r="F12" s="5" t="s">
        <v>54</v>
      </c>
      <c r="G12" s="15" t="str">
        <f>MID(I12,3,LEN(I12)-3)</f>
        <v>55358.8579</v>
      </c>
      <c r="H12" s="12">
        <f>1*K12</f>
        <v>67371</v>
      </c>
      <c r="I12" s="48" t="s">
        <v>63</v>
      </c>
      <c r="J12" s="49" t="s">
        <v>64</v>
      </c>
      <c r="K12" s="48">
        <v>67371</v>
      </c>
      <c r="L12" s="48" t="s">
        <v>65</v>
      </c>
      <c r="M12" s="49" t="s">
        <v>66</v>
      </c>
      <c r="N12" s="49" t="s">
        <v>54</v>
      </c>
      <c r="O12" s="50" t="s">
        <v>67</v>
      </c>
      <c r="P12" s="51" t="s">
        <v>68</v>
      </c>
    </row>
    <row r="13" spans="1:16" ht="12.75" customHeight="1" thickBot="1" x14ac:dyDescent="0.25">
      <c r="A13" s="12" t="str">
        <f>P13</f>
        <v>IBVS 6094 </v>
      </c>
      <c r="B13" s="5" t="str">
        <f>IF(H13=INT(H13),"I","II")</f>
        <v>II</v>
      </c>
      <c r="C13" s="12">
        <f>1*G13</f>
        <v>56498.4447</v>
      </c>
      <c r="D13" s="15" t="str">
        <f>VLOOKUP(F13,I$1:J$5,2,FALSE)</f>
        <v>vis</v>
      </c>
      <c r="E13" s="47">
        <f>VLOOKUP(C13,Active!C$21:E$971,3,FALSE)</f>
        <v>69821.441212685793</v>
      </c>
      <c r="F13" s="5" t="s">
        <v>54</v>
      </c>
      <c r="G13" s="15" t="str">
        <f>MID(I13,3,LEN(I13)-3)</f>
        <v>56498.4447</v>
      </c>
      <c r="H13" s="12">
        <f>1*K13</f>
        <v>69821.5</v>
      </c>
      <c r="I13" s="48" t="s">
        <v>69</v>
      </c>
      <c r="J13" s="49" t="s">
        <v>70</v>
      </c>
      <c r="K13" s="48">
        <v>69821.5</v>
      </c>
      <c r="L13" s="48" t="s">
        <v>71</v>
      </c>
      <c r="M13" s="49" t="s">
        <v>66</v>
      </c>
      <c r="N13" s="49" t="s">
        <v>47</v>
      </c>
      <c r="O13" s="50" t="s">
        <v>72</v>
      </c>
      <c r="P13" s="51" t="s">
        <v>73</v>
      </c>
    </row>
    <row r="14" spans="1:16" x14ac:dyDescent="0.2">
      <c r="B14" s="5"/>
      <c r="F14" s="5"/>
    </row>
    <row r="15" spans="1:16" x14ac:dyDescent="0.2">
      <c r="B15" s="5"/>
      <c r="F15" s="5"/>
    </row>
    <row r="16" spans="1:16" x14ac:dyDescent="0.2">
      <c r="B16" s="5"/>
      <c r="F16" s="5"/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</sheetData>
  <phoneticPr fontId="7" type="noConversion"/>
  <hyperlinks>
    <hyperlink ref="P11" r:id="rId1" display="http://www.bav-astro.de/sfs/BAVM_link.php?BAVMnr=173"/>
    <hyperlink ref="P12" r:id="rId2" display="http://www.konkoly.hu/cgi-bin/IBVS?5945"/>
    <hyperlink ref="P13" r:id="rId3" display="http://www.konkoly.hu/cgi-bin/IBVS?60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2024-01-30T06:37:31Z</dcterms:modified>
</cp:coreProperties>
</file>