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22EB5AB-C266-4F64-8598-D46BC1B346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Q22" i="1"/>
  <c r="Q23" i="1"/>
  <c r="Q24" i="1"/>
  <c r="D9" i="1"/>
  <c r="E9" i="1"/>
  <c r="F16" i="1"/>
  <c r="F17" i="1" s="1"/>
  <c r="C17" i="1"/>
  <c r="E21" i="1"/>
  <c r="F21" i="1"/>
  <c r="G21" i="1"/>
  <c r="I21" i="1"/>
  <c r="Q21" i="1"/>
  <c r="C12" i="1"/>
  <c r="C11" i="1"/>
  <c r="O24" i="1" l="1"/>
  <c r="O23" i="1"/>
  <c r="O21" i="1"/>
  <c r="C15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<sst xmlns="http://schemas.openxmlformats.org/spreadsheetml/2006/main" count="64" uniqueCount="52">
  <si>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</si>
  <si>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</si>
  <si>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</si>
  <si>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</si>
  <si>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</si>
  <si>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</si>
  <si>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</si>
  <si>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</si>
  <si>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</si>
  <si>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</si>
  <si>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</si>
  <si>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</si>
  <si>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</si>
  <si>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</si>
  <si>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</si>
  <si>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</si>
  <si>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</si>
  <si>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</si>
  <si>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</si>
  <si>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</si>
  <si>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</si>
  <si>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</si>
  <si>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</si>
  <si>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</si>
  <si>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</si>
  <si>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</si>
  <si>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</si>
  <si>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</si>
  <si>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</si>
  <si>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</si>
  <si>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</si>
  <si>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</si>
  <si>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</si>
  <si>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</si>
  <si>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</si>
  <si>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</si>
  <si>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</si>
  <si>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</si>
  <si>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</si>
  <si>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</si>
  <si>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</si>
  <si>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</si>
  <si>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G2671-0834</t>
  </si>
  <si>
    <t>2019G</t>
  </si>
  <si>
    <t>EW</t>
  </si>
  <si>
    <t>pr_</t>
  </si>
  <si>
    <t>VSX</t>
  </si>
  <si>
    <t>as of 2019-07-08</t>
  </si>
  <si>
    <t>Cyg</t>
  </si>
  <si>
    <t>IBVS 6244</t>
  </si>
  <si>
    <t>I</t>
  </si>
  <si>
    <t>SvkV190 / GSC 2671-0834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</si>
</sst>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3" borderId="6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18" fillId="0" borderId="0" xfId="0" applyFont="1">
      <alignment vertical="top"/>
    </xf>
    <xf numFmtId="0" fontId="0" fillId="0" borderId="0" xfId="0" applyAlignment="1">
      <alignment horizontal="center" vertical="top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SvkV190 Cyg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6015037593984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5087.5</c:v>
                </c:pt>
                <c:pt idx="2">
                  <c:v>5118</c:v>
                </c:pt>
                <c:pt idx="3">
                  <c:v>6172.5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B0-480D-A772-26E448E84C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5087.5</c:v>
                </c:pt>
                <c:pt idx="2">
                  <c:v>5118</c:v>
                </c:pt>
                <c:pt idx="3">
                  <c:v>6172.5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B0-480D-A772-26E448E84C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5087.5</c:v>
                </c:pt>
                <c:pt idx="2">
                  <c:v>5118</c:v>
                </c:pt>
                <c:pt idx="3">
                  <c:v>6172.5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B0-480D-A772-26E448E84C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5087.5</c:v>
                </c:pt>
                <c:pt idx="2">
                  <c:v>5118</c:v>
                </c:pt>
                <c:pt idx="3">
                  <c:v>6172.5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-2.550000193878077E-3</c:v>
                </c:pt>
                <c:pt idx="2">
                  <c:v>-1.044000186084304E-3</c:v>
                </c:pt>
                <c:pt idx="3">
                  <c:v>-2.8300001940806396E-3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B0-480D-A772-26E448E84C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5087.5</c:v>
                </c:pt>
                <c:pt idx="2">
                  <c:v>5118</c:v>
                </c:pt>
                <c:pt idx="3">
                  <c:v>6172.5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B0-480D-A772-26E448E84C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5087.5</c:v>
                </c:pt>
                <c:pt idx="2">
                  <c:v>5118</c:v>
                </c:pt>
                <c:pt idx="3">
                  <c:v>6172.5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B0-480D-A772-26E448E84C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5087.5</c:v>
                </c:pt>
                <c:pt idx="2">
                  <c:v>5118</c:v>
                </c:pt>
                <c:pt idx="3">
                  <c:v>6172.5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B0-480D-A772-26E448E84C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5087.5</c:v>
                </c:pt>
                <c:pt idx="2">
                  <c:v>5118</c:v>
                </c:pt>
                <c:pt idx="3">
                  <c:v>6172.5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7.3384703609896598E-5</c:v>
                </c:pt>
                <c:pt idx="1">
                  <c:v>-2.0132853195251178E-3</c:v>
                </c:pt>
                <c:pt idx="2">
                  <c:v>-2.0257950857571804E-3</c:v>
                </c:pt>
                <c:pt idx="3">
                  <c:v>-2.4583048723706195E-3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B0-480D-A772-26E448E84C1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5087.5</c:v>
                </c:pt>
                <c:pt idx="2">
                  <c:v>5118</c:v>
                </c:pt>
                <c:pt idx="3">
                  <c:v>6172.5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B0-480D-A772-26E448E84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328120"/>
        <c:axId val="1"/>
      </c:scatterChart>
      <c:valAx>
        <c:axId val="790328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328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D99DD3-4C06-C841-D0E0-98306FE19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51</v>
      </c>
      <c r="F1" s="35" t="s">
        <v>42</v>
      </c>
      <c r="G1" s="36" t="s">
        <v>43</v>
      </c>
      <c r="H1" s="37"/>
      <c r="I1" s="38" t="s">
        <v>42</v>
      </c>
      <c r="J1" s="35" t="s">
        <v>42</v>
      </c>
      <c r="K1" s="39">
        <v>20.112300000000001</v>
      </c>
      <c r="L1" s="31">
        <v>30.5717</v>
      </c>
      <c r="M1" s="40">
        <v>53901.425600000191</v>
      </c>
      <c r="N1" s="32">
        <v>0.656308</v>
      </c>
      <c r="O1" s="31" t="s">
        <v>44</v>
      </c>
      <c r="P1" s="31">
        <v>11.29</v>
      </c>
      <c r="Q1" s="31">
        <v>11.45</v>
      </c>
      <c r="R1" s="41" t="s">
        <v>45</v>
      </c>
      <c r="S1" s="42" t="s">
        <v>13</v>
      </c>
    </row>
    <row r="2" spans="1:19" x14ac:dyDescent="0.2">
      <c r="A2" t="s">
        <v>23</v>
      </c>
      <c r="B2" s="3" t="s">
        <v>44</v>
      </c>
      <c r="C2" s="30"/>
      <c r="D2" s="3" t="s">
        <v>48</v>
      </c>
    </row>
    <row r="3" spans="1:19" ht="13.5" thickBot="1" x14ac:dyDescent="0.25"/>
    <row r="4" spans="1:19" ht="14.25" thickTop="1" thickBot="1" x14ac:dyDescent="0.25">
      <c r="A4" s="5" t="s">
        <v>0</v>
      </c>
      <c r="C4" s="27" t="s">
        <v>37</v>
      </c>
      <c r="D4" s="28" t="s">
        <v>37</v>
      </c>
      <c r="E4" s="43" t="s">
        <v>47</v>
      </c>
    </row>
    <row r="5" spans="1:19" ht="13.5" thickTop="1" x14ac:dyDescent="0.2">
      <c r="A5" s="9" t="s">
        <v>28</v>
      </c>
      <c r="B5" s="44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8">
        <v>53901.425600000191</v>
      </c>
      <c r="D7" s="29" t="s">
        <v>46</v>
      </c>
    </row>
    <row r="8" spans="1:19" x14ac:dyDescent="0.2">
      <c r="A8" t="s">
        <v>3</v>
      </c>
      <c r="C8" s="48">
        <v>0.656308</v>
      </c>
      <c r="D8" s="29" t="s">
        <v>46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44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44"/>
      <c r="C11" s="21">
        <f ca="1">INTERCEPT(INDIRECT($E$9):G992,INDIRECT($D$9):F992)</f>
        <v>7.3384703609896598E-5</v>
      </c>
      <c r="D11" s="3"/>
      <c r="E11" s="10"/>
    </row>
    <row r="12" spans="1:19" x14ac:dyDescent="0.2">
      <c r="A12" s="10" t="s">
        <v>16</v>
      </c>
      <c r="B12" s="44"/>
      <c r="C12" s="21">
        <f ca="1">SLOPE(INDIRECT($E$9):G992,INDIRECT($D$9):F992)</f>
        <v>-4.1015626990368831E-7</v>
      </c>
      <c r="D12" s="3"/>
      <c r="E12" s="10"/>
    </row>
    <row r="13" spans="1:19" x14ac:dyDescent="0.2">
      <c r="A13" s="10" t="s">
        <v>18</v>
      </c>
      <c r="B13" s="44"/>
      <c r="C13" s="3" t="s">
        <v>13</v>
      </c>
    </row>
    <row r="14" spans="1:19" x14ac:dyDescent="0.2">
      <c r="A14" s="10"/>
      <c r="B14" s="44"/>
      <c r="C14" s="10"/>
    </row>
    <row r="15" spans="1:19" x14ac:dyDescent="0.2">
      <c r="A15" s="12" t="s">
        <v>17</v>
      </c>
      <c r="B15" s="44"/>
      <c r="C15" s="13">
        <f ca="1">(C7+C11)+(C8+C12)*INT(MAX(F21:F3533))</f>
        <v>57952.156117900398</v>
      </c>
      <c r="E15" s="14" t="s">
        <v>34</v>
      </c>
      <c r="F15" s="33">
        <v>1</v>
      </c>
    </row>
    <row r="16" spans="1:19" x14ac:dyDescent="0.2">
      <c r="A16" s="16" t="s">
        <v>4</v>
      </c>
      <c r="B16" s="44"/>
      <c r="C16" s="17">
        <f ca="1">+C8+C12</f>
        <v>0.65630758984373005</v>
      </c>
      <c r="E16" s="14" t="s">
        <v>30</v>
      </c>
      <c r="F16" s="34">
        <f ca="1">NOW()+15018.5+$C$5/24</f>
        <v>60339.821412847217</v>
      </c>
    </row>
    <row r="17" spans="1:21" ht="13.5" thickBot="1" x14ac:dyDescent="0.25">
      <c r="A17" s="14" t="s">
        <v>27</v>
      </c>
      <c r="B17" s="44"/>
      <c r="C17" s="10">
        <f>COUNT(C21:C2191)</f>
        <v>4</v>
      </c>
      <c r="E17" s="14" t="s">
        <v>35</v>
      </c>
      <c r="F17" s="15">
        <f ca="1">ROUND(2*(F16-$C$7)/$C$8,0)/2+F15</f>
        <v>9811</v>
      </c>
    </row>
    <row r="18" spans="1:21" ht="14.25" thickTop="1" thickBot="1" x14ac:dyDescent="0.25">
      <c r="A18" s="16" t="s">
        <v>5</v>
      </c>
      <c r="B18" s="44"/>
      <c r="C18" s="19">
        <f ca="1">+C15</f>
        <v>57952.156117900398</v>
      </c>
      <c r="D18" s="20">
        <f ca="1">+C16</f>
        <v>0.65630758984373005</v>
      </c>
      <c r="E18" s="14" t="s">
        <v>36</v>
      </c>
      <c r="F18" s="23">
        <f ca="1">ROUND(2*(F16-$C$15)/$C$16,0)/2+F15</f>
        <v>3639</v>
      </c>
    </row>
    <row r="19" spans="1:21" ht="13.5" thickTop="1" x14ac:dyDescent="0.2">
      <c r="E19" s="14" t="s">
        <v>31</v>
      </c>
      <c r="F19" s="18">
        <f ca="1">+$C$15+$C$16*F18-15018.5-$C$5/24</f>
        <v>45322.355270675071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53901.425600000191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7.3384703609896598E-5</v>
      </c>
      <c r="Q21" s="2">
        <f>+C21-15018.5</f>
        <v>38882.925600000191</v>
      </c>
    </row>
    <row r="22" spans="1:21" x14ac:dyDescent="0.2">
      <c r="A22" s="45" t="s">
        <v>49</v>
      </c>
      <c r="B22" s="46" t="s">
        <v>50</v>
      </c>
      <c r="C22" s="47">
        <v>57240.39</v>
      </c>
      <c r="D22" s="47">
        <v>5.0000000000000001E-4</v>
      </c>
      <c r="E22">
        <f>+(C22-C$7)/C$8</f>
        <v>5087.4961146288142</v>
      </c>
      <c r="F22">
        <f>ROUND(2*E22,0)/2</f>
        <v>5087.5</v>
      </c>
      <c r="G22">
        <f>+C22-(C$7+F22*C$8)</f>
        <v>-2.550000193878077E-3</v>
      </c>
      <c r="K22">
        <f>+G22</f>
        <v>-2.550000193878077E-3</v>
      </c>
      <c r="O22">
        <f ca="1">+C$11+C$12*$F22</f>
        <v>-2.0132853195251178E-3</v>
      </c>
      <c r="Q22" s="2">
        <f>+C22-15018.5</f>
        <v>42221.89</v>
      </c>
    </row>
    <row r="23" spans="1:21" x14ac:dyDescent="0.2">
      <c r="A23" s="45" t="s">
        <v>49</v>
      </c>
      <c r="B23" s="46" t="s">
        <v>50</v>
      </c>
      <c r="C23" s="47">
        <v>57260.408900000002</v>
      </c>
      <c r="D23" s="47">
        <v>4.0000000000000002E-4</v>
      </c>
      <c r="E23">
        <f>+(C23-C$7)/C$8</f>
        <v>5117.9984092831573</v>
      </c>
      <c r="F23">
        <f>ROUND(2*E23,0)/2</f>
        <v>5118</v>
      </c>
      <c r="G23">
        <f>+C23-(C$7+F23*C$8)</f>
        <v>-1.044000186084304E-3</v>
      </c>
      <c r="K23">
        <f>+G23</f>
        <v>-1.044000186084304E-3</v>
      </c>
      <c r="O23">
        <f ca="1">+C$11+C$12*$F23</f>
        <v>-2.0257950857571804E-3</v>
      </c>
      <c r="Q23" s="2">
        <f>+C23-15018.5</f>
        <v>42241.908900000002</v>
      </c>
    </row>
    <row r="24" spans="1:21" x14ac:dyDescent="0.2">
      <c r="A24" s="45" t="s">
        <v>49</v>
      </c>
      <c r="B24" s="46" t="s">
        <v>50</v>
      </c>
      <c r="C24" s="47">
        <v>57952.483899999999</v>
      </c>
      <c r="D24" s="47">
        <v>2.9999999999999997E-4</v>
      </c>
      <c r="E24">
        <f>+(C24-C$7)/C$8</f>
        <v>6172.4956879998535</v>
      </c>
      <c r="F24">
        <f>ROUND(2*E24,0)/2</f>
        <v>6172.5</v>
      </c>
      <c r="G24">
        <f>+C24-(C$7+F24*C$8)</f>
        <v>-2.8300001940806396E-3</v>
      </c>
      <c r="K24">
        <f>+G24</f>
        <v>-2.8300001940806396E-3</v>
      </c>
      <c r="O24">
        <f ca="1">+C$11+C$12*$F24</f>
        <v>-2.4583048723706195E-3</v>
      </c>
      <c r="Q24" s="2">
        <f>+C24-15018.5</f>
        <v>42933.983899999999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2024-01-30T06:42:50Z</dcterms:modified>
</cp:coreProperties>
</file>