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FA0324D-A15C-4417-A721-5A27FFE16E5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51" i="1"/>
  <c r="Q52" i="1"/>
  <c r="Q53" i="1"/>
  <c r="G42" i="2"/>
  <c r="C42" i="2"/>
  <c r="G41" i="2"/>
  <c r="C41" i="2"/>
  <c r="G40" i="2"/>
  <c r="C40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H42" i="2"/>
  <c r="B42" i="2"/>
  <c r="D42" i="2"/>
  <c r="A42" i="2"/>
  <c r="H41" i="2"/>
  <c r="D41" i="2"/>
  <c r="B41" i="2"/>
  <c r="A41" i="2"/>
  <c r="H40" i="2"/>
  <c r="B40" i="2"/>
  <c r="D40" i="2"/>
  <c r="A40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C17" i="1"/>
  <c r="Q39" i="1"/>
  <c r="Q41" i="1"/>
  <c r="Q42" i="1"/>
  <c r="Q43" i="1"/>
  <c r="Q44" i="1"/>
  <c r="Q45" i="1"/>
  <c r="Q46" i="1"/>
  <c r="Q47" i="1"/>
  <c r="Q48" i="1"/>
  <c r="Q49" i="1"/>
  <c r="Q50" i="1"/>
  <c r="C7" i="1"/>
  <c r="C8" i="1"/>
  <c r="Q40" i="1"/>
  <c r="E12" i="2"/>
  <c r="E19" i="2"/>
  <c r="E14" i="2"/>
  <c r="E26" i="2"/>
  <c r="E22" i="2"/>
  <c r="E16" i="2"/>
  <c r="E21" i="2"/>
  <c r="E33" i="2"/>
  <c r="E40" i="2"/>
  <c r="E34" i="2"/>
  <c r="E41" i="2"/>
  <c r="E18" i="2"/>
  <c r="G48" i="1"/>
  <c r="I48" i="1"/>
  <c r="E46" i="1"/>
  <c r="F46" i="1"/>
  <c r="G46" i="1"/>
  <c r="I46" i="1"/>
  <c r="E53" i="1"/>
  <c r="F53" i="1"/>
  <c r="G53" i="1"/>
  <c r="I53" i="1"/>
  <c r="E33" i="1"/>
  <c r="F33" i="1"/>
  <c r="G33" i="1"/>
  <c r="H33" i="1"/>
  <c r="E25" i="1"/>
  <c r="F25" i="1"/>
  <c r="G45" i="1"/>
  <c r="I45" i="1"/>
  <c r="E43" i="1"/>
  <c r="F43" i="1"/>
  <c r="G52" i="1"/>
  <c r="I52" i="1"/>
  <c r="E38" i="1"/>
  <c r="F38" i="1"/>
  <c r="G32" i="1"/>
  <c r="H32" i="1"/>
  <c r="E30" i="1"/>
  <c r="F30" i="1"/>
  <c r="E22" i="1"/>
  <c r="F22" i="1"/>
  <c r="G22" i="1"/>
  <c r="H22" i="1"/>
  <c r="G50" i="1"/>
  <c r="I50" i="1"/>
  <c r="E48" i="1"/>
  <c r="F48" i="1"/>
  <c r="G42" i="1"/>
  <c r="I42" i="1"/>
  <c r="E40" i="1"/>
  <c r="F40" i="1"/>
  <c r="G40" i="1"/>
  <c r="H40" i="1"/>
  <c r="G37" i="1"/>
  <c r="H37" i="1"/>
  <c r="E35" i="1"/>
  <c r="F35" i="1"/>
  <c r="G35" i="1"/>
  <c r="H35" i="1"/>
  <c r="E27" i="1"/>
  <c r="F27" i="1"/>
  <c r="G27" i="1"/>
  <c r="H27" i="1"/>
  <c r="G47" i="1"/>
  <c r="I47" i="1"/>
  <c r="E45" i="1"/>
  <c r="F45" i="1"/>
  <c r="E52" i="1"/>
  <c r="F52" i="1"/>
  <c r="G34" i="1"/>
  <c r="H34" i="1"/>
  <c r="E32" i="1"/>
  <c r="F32" i="1"/>
  <c r="E24" i="1"/>
  <c r="F24" i="1"/>
  <c r="G24" i="1"/>
  <c r="H24" i="1"/>
  <c r="G21" i="1"/>
  <c r="E50" i="1"/>
  <c r="F50" i="1"/>
  <c r="E42" i="1"/>
  <c r="F42" i="1"/>
  <c r="G51" i="1"/>
  <c r="I51" i="1"/>
  <c r="E37" i="1"/>
  <c r="F37" i="1"/>
  <c r="E29" i="1"/>
  <c r="F29" i="1"/>
  <c r="G29" i="1"/>
  <c r="H29" i="1"/>
  <c r="G23" i="1"/>
  <c r="H23" i="1"/>
  <c r="E47" i="1"/>
  <c r="F47" i="1"/>
  <c r="G41" i="1"/>
  <c r="I41" i="1"/>
  <c r="E39" i="1"/>
  <c r="F39" i="1"/>
  <c r="G39" i="1"/>
  <c r="I39" i="1"/>
  <c r="E34" i="1"/>
  <c r="F34" i="1"/>
  <c r="E26" i="1"/>
  <c r="F26" i="1"/>
  <c r="G26" i="1"/>
  <c r="H26" i="1"/>
  <c r="E21" i="1"/>
  <c r="F21" i="1"/>
  <c r="E44" i="1"/>
  <c r="F44" i="1"/>
  <c r="G44" i="1"/>
  <c r="I44" i="1"/>
  <c r="E51" i="1"/>
  <c r="F51" i="1"/>
  <c r="E31" i="1"/>
  <c r="F31" i="1"/>
  <c r="G31" i="1"/>
  <c r="H31" i="1"/>
  <c r="G25" i="1"/>
  <c r="H25" i="1"/>
  <c r="E23" i="1"/>
  <c r="F23" i="1"/>
  <c r="E49" i="1"/>
  <c r="F49" i="1"/>
  <c r="G49" i="1"/>
  <c r="I49" i="1"/>
  <c r="G43" i="1"/>
  <c r="I43" i="1"/>
  <c r="E41" i="1"/>
  <c r="F41" i="1"/>
  <c r="G38" i="1"/>
  <c r="H38" i="1"/>
  <c r="E36" i="1"/>
  <c r="F36" i="1"/>
  <c r="G36" i="1"/>
  <c r="H36" i="1"/>
  <c r="G30" i="1"/>
  <c r="H30" i="1"/>
  <c r="E28" i="1"/>
  <c r="F28" i="1"/>
  <c r="G28" i="1"/>
  <c r="H28" i="1"/>
  <c r="E35" i="2"/>
  <c r="E17" i="2"/>
  <c r="E20" i="2"/>
  <c r="E13" i="2"/>
  <c r="E15" i="2"/>
  <c r="E37" i="2"/>
  <c r="E11" i="2"/>
  <c r="E28" i="2"/>
  <c r="E32" i="2"/>
  <c r="E31" i="2"/>
  <c r="H21" i="1"/>
  <c r="E36" i="2"/>
  <c r="E29" i="2"/>
  <c r="E23" i="2"/>
  <c r="E39" i="2"/>
  <c r="E38" i="2"/>
  <c r="E24" i="2"/>
  <c r="E42" i="2"/>
  <c r="E27" i="2"/>
  <c r="E25" i="2"/>
  <c r="E30" i="2"/>
  <c r="C12" i="1"/>
  <c r="C11" i="1"/>
  <c r="O22" i="1" l="1"/>
  <c r="O36" i="1"/>
  <c r="O26" i="1"/>
  <c r="O32" i="1"/>
  <c r="O30" i="1"/>
  <c r="O47" i="1"/>
  <c r="O34" i="1"/>
  <c r="O52" i="1"/>
  <c r="O27" i="1"/>
  <c r="O38" i="1"/>
  <c r="O42" i="1"/>
  <c r="O21" i="1"/>
  <c r="O43" i="1"/>
  <c r="O28" i="1"/>
  <c r="O35" i="1"/>
  <c r="O25" i="1"/>
  <c r="O50" i="1"/>
  <c r="O29" i="1"/>
  <c r="C15" i="1"/>
  <c r="O45" i="1"/>
  <c r="O46" i="1"/>
  <c r="O33" i="1"/>
  <c r="O23" i="1"/>
  <c r="O37" i="1"/>
  <c r="O24" i="1"/>
  <c r="O40" i="1"/>
  <c r="O53" i="1"/>
  <c r="O31" i="1"/>
  <c r="O39" i="1"/>
  <c r="O41" i="1"/>
  <c r="O44" i="1"/>
  <c r="O51" i="1"/>
  <c r="O48" i="1"/>
  <c r="O49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<sst xmlns="http://schemas.openxmlformats.org/spreadsheetml/2006/main" count="379" uniqueCount="163">
  <si>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</si>
  <si>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</si>
  <si>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</si>
  <si>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</si>
  <si>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</si>
  <si>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</si>
  <si>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</si>
  <si>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</si>
  <si>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</si>
  <si>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</si>
  <si>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</si>
  <si>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</si>
  <si>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</si>
  <si>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</si>
  <si>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</si>
  <si>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</si>
  <si>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</si>
  <si>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</si>
  <si>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</si>
  <si>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</si>
  <si>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</si>
  <si>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</si>
  <si>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</si>
  <si>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</si>
  <si>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</si>
  <si>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</si>
  <si>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</si>
  <si>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</si>
  <si>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</si>
  <si>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pg</t>
  </si>
  <si>
    <t>PZ 14,59</t>
  </si>
  <si>
    <t>K</t>
  </si>
  <si>
    <t>AJ 64,263</t>
  </si>
  <si>
    <t>v</t>
  </si>
  <si>
    <t>BAV-M 39</t>
  </si>
  <si>
    <t># of data points: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</si>
  <si>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</si>
  <si>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</si>
  <si>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</si>
  <si>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</si>
  <si>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</si>
  <si>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</si>
  <si>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</si>
  <si>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</si>
  <si>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</si>
  <si>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</si>
  <si>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</si>
  <si>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2413479.0 </t>
  </si>
  <si>
    <t> 12.10.1895 12:00 </t>
  </si>
  <si>
    <t> -0.1 </t>
  </si>
  <si>
    <t>P </t>
  </si>
  <si>
    <t> Kukarkin&amp;Sytcheva </t>
  </si>
  <si>
    <t> PZ 7.266 </t>
  </si>
  <si>
    <t>2413842.0 </t>
  </si>
  <si>
    <t> 09.10.1896 12:00 </t>
  </si>
  <si>
    <t>2418561.6 </t>
  </si>
  <si>
    <t> 12.09.1909 02:24 </t>
  </si>
  <si>
    <t> 0.0 </t>
  </si>
  <si>
    <t>2426594.90 </t>
  </si>
  <si>
    <t> 10.09.1931 09:36 </t>
  </si>
  <si>
    <t> 1.12 </t>
  </si>
  <si>
    <t> S.Beljawsky </t>
  </si>
  <si>
    <t> PZ 4.268 </t>
  </si>
  <si>
    <t>2426685.67 </t>
  </si>
  <si>
    <t> 10.12.1931 04:04 </t>
  </si>
  <si>
    <t> 1.13 </t>
  </si>
  <si>
    <t>2427274.85 </t>
  </si>
  <si>
    <t> 21.07.1933 08:24 </t>
  </si>
  <si>
    <t> 0.38 </t>
  </si>
  <si>
    <t>2427774.0 </t>
  </si>
  <si>
    <t> 02.12.1934 12:00 </t>
  </si>
  <si>
    <t> 0.4 </t>
  </si>
  <si>
    <t>V </t>
  </si>
  <si>
    <t> S.Piotrowski </t>
  </si>
  <si>
    <t> AAC 2.132 </t>
  </si>
  <si>
    <t>2428545.23 </t>
  </si>
  <si>
    <t> 11.01.1937 17:31 </t>
  </si>
  <si>
    <t> 0.13 </t>
  </si>
  <si>
    <t> A.A.Wachmann </t>
  </si>
  <si>
    <t> AAAN 11.5.38 </t>
  </si>
  <si>
    <t>2428635.61 </t>
  </si>
  <si>
    <t> 12.04.1937 02:38 </t>
  </si>
  <si>
    <t> -0.25 </t>
  </si>
  <si>
    <t>2428726.5 </t>
  </si>
  <si>
    <t> 12.07.1937 00:00 </t>
  </si>
  <si>
    <t>2428771.6 </t>
  </si>
  <si>
    <t> 26.08.1937 02:24 </t>
  </si>
  <si>
    <t> -0.4 </t>
  </si>
  <si>
    <t>2428817.40 </t>
  </si>
  <si>
    <t> 10.10.1937 21:36 </t>
  </si>
  <si>
    <t> 0.02 </t>
  </si>
  <si>
    <t>2429135.0 </t>
  </si>
  <si>
    <t> 24.08.1938 12:00 </t>
  </si>
  <si>
    <t> -0.0 </t>
  </si>
  <si>
    <t>2429135.45 </t>
  </si>
  <si>
    <t> 24.08.1938 22:48 </t>
  </si>
  <si>
    <t> 0.41 </t>
  </si>
  <si>
    <t>2429498.0 </t>
  </si>
  <si>
    <t> 22.08.1939 12:00 </t>
  </si>
  <si>
    <t>2430313.30 </t>
  </si>
  <si>
    <t> 14.11.1941 19:12 </t>
  </si>
  <si>
    <t> -1.60 </t>
  </si>
  <si>
    <t>2430587.0 </t>
  </si>
  <si>
    <t> 15.08.1942 12:00 </t>
  </si>
  <si>
    <t> -0.2 </t>
  </si>
  <si>
    <t>2430587.2 </t>
  </si>
  <si>
    <t> 15.08.1942 16:48 </t>
  </si>
  <si>
    <t> B.S.Whitney </t>
  </si>
  <si>
    <t> AJ 64.263 </t>
  </si>
  <si>
    <t>2431993.33 </t>
  </si>
  <si>
    <t> 21.06.1946 19:55 </t>
  </si>
  <si>
    <t> -0.62 </t>
  </si>
  <si>
    <t> T.I.Dunkova </t>
  </si>
  <si>
    <t> PZ 14.59 </t>
  </si>
  <si>
    <t>2431994.0 </t>
  </si>
  <si>
    <t> 22.06.1946 12:00 </t>
  </si>
  <si>
    <t>2432311.7 </t>
  </si>
  <si>
    <t> 06.05.1947 04:48 </t>
  </si>
  <si>
    <t> 0.1 </t>
  </si>
  <si>
    <t>2432447.9 </t>
  </si>
  <si>
    <t> 19.09.1947 09:36 </t>
  </si>
  <si>
    <t> 0.2 </t>
  </si>
  <si>
    <t>2432765.4 </t>
  </si>
  <si>
    <t> 01.08.1948 21:36 </t>
  </si>
  <si>
    <t>2433128.5 </t>
  </si>
  <si>
    <t> 31.07.1949 00:00 </t>
  </si>
  <si>
    <t>2433536.9 </t>
  </si>
  <si>
    <t> 12.09.1950 09:36 </t>
  </si>
  <si>
    <t>2433854.6 </t>
  </si>
  <si>
    <t> 27.07.1951 02:24 </t>
  </si>
  <si>
    <t>2434217.4 </t>
  </si>
  <si>
    <t> 23.07.1952 21:36 </t>
  </si>
  <si>
    <t>2435805.6 </t>
  </si>
  <si>
    <t> 28.11.1956 02:24 </t>
  </si>
  <si>
    <t>2446016.500 </t>
  </si>
  <si>
    <t> 12.11.1984 00:00 </t>
  </si>
  <si>
    <t> 0.254 </t>
  </si>
  <si>
    <t> H.Grzelczyk </t>
  </si>
  <si>
    <t>BAVM 39 </t>
  </si>
  <si>
    <t>2452460.478 </t>
  </si>
  <si>
    <t> 04.07.2002 23:28 </t>
  </si>
  <si>
    <t> 0.328 </t>
  </si>
  <si>
    <t> R.Meyer </t>
  </si>
  <si>
    <t>BAVM 157 </t>
  </si>
  <si>
    <t>2452460.5 </t>
  </si>
  <si>
    <t> 05.07.2002 00:00 </t>
  </si>
  <si>
    <t>2453594.900 </t>
  </si>
  <si>
    <t> 12.08.2005 09:36 </t>
  </si>
  <si>
    <t> 0.260 </t>
  </si>
  <si>
    <t>BAVM 192 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</si>
  <si>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</si>
  <si>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</si>
  <si>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</si>
  <si>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</si>
  <si>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</si>
  <si>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</si>
  <si>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</si>
  <si>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</si>
  <si>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</si>
  <si>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BAD?</t>
  </si>
  <si>
    <t>V0371 Cyg / GSC 02672-02140</t>
  </si>
  <si>
    <t>12/10/1895</t>
  </si>
  <si>
    <t>09/10/1896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</si>
</sst>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3" fillId="2" borderId="11" xfId="7" applyFill="1" applyBorder="1" applyAlignment="1" applyProtection="1">
      <alignment horizontal="right" vertical="top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9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V0371 Cyg - O-C Diagr.</a:t>
            </a:r>
          </a:p>
        </c:rich>
      </c:tx>
      <c:layout>
        <c:manualLayout>
          <c:xMode val="edge"/>
          <c:yMode val="edge"/>
          <c:x val="0.3554427125180780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5464773106621"/>
          <c:y val="0.15"/>
          <c:w val="0.81802856948303548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-408</c:v>
                </c:pt>
                <c:pt idx="1">
                  <c:v>-400</c:v>
                </c:pt>
                <c:pt idx="2">
                  <c:v>-296</c:v>
                </c:pt>
                <c:pt idx="3">
                  <c:v>-119</c:v>
                </c:pt>
                <c:pt idx="4">
                  <c:v>-117</c:v>
                </c:pt>
                <c:pt idx="5">
                  <c:v>-104</c:v>
                </c:pt>
                <c:pt idx="6">
                  <c:v>-93</c:v>
                </c:pt>
                <c:pt idx="7">
                  <c:v>-76</c:v>
                </c:pt>
                <c:pt idx="8">
                  <c:v>-74</c:v>
                </c:pt>
                <c:pt idx="9">
                  <c:v>-72</c:v>
                </c:pt>
                <c:pt idx="10">
                  <c:v>-71</c:v>
                </c:pt>
                <c:pt idx="11">
                  <c:v>-70</c:v>
                </c:pt>
                <c:pt idx="12">
                  <c:v>-63</c:v>
                </c:pt>
                <c:pt idx="13">
                  <c:v>-63</c:v>
                </c:pt>
                <c:pt idx="14">
                  <c:v>-55</c:v>
                </c:pt>
                <c:pt idx="15">
                  <c:v>-37</c:v>
                </c:pt>
                <c:pt idx="16">
                  <c:v>-31</c:v>
                </c:pt>
                <c:pt idx="17">
                  <c:v>-31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25</c:v>
                </c:pt>
                <c:pt idx="25">
                  <c:v>34</c:v>
                </c:pt>
                <c:pt idx="26">
                  <c:v>41</c:v>
                </c:pt>
                <c:pt idx="27">
                  <c:v>49</c:v>
                </c:pt>
                <c:pt idx="28">
                  <c:v>84</c:v>
                </c:pt>
                <c:pt idx="29">
                  <c:v>309</c:v>
                </c:pt>
                <c:pt idx="30">
                  <c:v>451</c:v>
                </c:pt>
                <c:pt idx="31">
                  <c:v>451</c:v>
                </c:pt>
                <c:pt idx="32">
                  <c:v>476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-7.3199999998905696E-2</c:v>
                </c:pt>
                <c:pt idx="1">
                  <c:v>-0.11000000000058208</c:v>
                </c:pt>
                <c:pt idx="2">
                  <c:v>1.1599999997997656E-2</c:v>
                </c:pt>
                <c:pt idx="3">
                  <c:v>1.1224000000001979</c:v>
                </c:pt>
                <c:pt idx="4">
                  <c:v>1.1331999999965774</c:v>
                </c:pt>
                <c:pt idx="5">
                  <c:v>0.37839999999778229</c:v>
                </c:pt>
                <c:pt idx="6">
                  <c:v>0.35280000000057044</c:v>
                </c:pt>
                <c:pt idx="7">
                  <c:v>0.12960000000020955</c:v>
                </c:pt>
                <c:pt idx="8">
                  <c:v>-0.24959999999919091</c:v>
                </c:pt>
                <c:pt idx="9">
                  <c:v>-0.11880000000019209</c:v>
                </c:pt>
                <c:pt idx="10">
                  <c:v>-0.39840000000185682</c:v>
                </c:pt>
                <c:pt idx="11">
                  <c:v>2.2000000000844011E-2</c:v>
                </c:pt>
                <c:pt idx="12">
                  <c:v>-3.5200000002078013E-2</c:v>
                </c:pt>
                <c:pt idx="13">
                  <c:v>0.41479999999864958</c:v>
                </c:pt>
                <c:pt idx="14">
                  <c:v>-7.2000000000116415E-2</c:v>
                </c:pt>
                <c:pt idx="15">
                  <c:v>-1.6048000000009779</c:v>
                </c:pt>
                <c:pt idx="16">
                  <c:v>-0.18240000000150758</c:v>
                </c:pt>
                <c:pt idx="17">
                  <c:v>1.7599999999220017E-2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94-4C47-B2A0-CDDF6110D5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-408</c:v>
                </c:pt>
                <c:pt idx="1">
                  <c:v>-400</c:v>
                </c:pt>
                <c:pt idx="2">
                  <c:v>-296</c:v>
                </c:pt>
                <c:pt idx="3">
                  <c:v>-119</c:v>
                </c:pt>
                <c:pt idx="4">
                  <c:v>-117</c:v>
                </c:pt>
                <c:pt idx="5">
                  <c:v>-104</c:v>
                </c:pt>
                <c:pt idx="6">
                  <c:v>-93</c:v>
                </c:pt>
                <c:pt idx="7">
                  <c:v>-76</c:v>
                </c:pt>
                <c:pt idx="8">
                  <c:v>-74</c:v>
                </c:pt>
                <c:pt idx="9">
                  <c:v>-72</c:v>
                </c:pt>
                <c:pt idx="10">
                  <c:v>-71</c:v>
                </c:pt>
                <c:pt idx="11">
                  <c:v>-70</c:v>
                </c:pt>
                <c:pt idx="12">
                  <c:v>-63</c:v>
                </c:pt>
                <c:pt idx="13">
                  <c:v>-63</c:v>
                </c:pt>
                <c:pt idx="14">
                  <c:v>-55</c:v>
                </c:pt>
                <c:pt idx="15">
                  <c:v>-37</c:v>
                </c:pt>
                <c:pt idx="16">
                  <c:v>-31</c:v>
                </c:pt>
                <c:pt idx="17">
                  <c:v>-31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25</c:v>
                </c:pt>
                <c:pt idx="25">
                  <c:v>34</c:v>
                </c:pt>
                <c:pt idx="26">
                  <c:v>41</c:v>
                </c:pt>
                <c:pt idx="27">
                  <c:v>49</c:v>
                </c:pt>
                <c:pt idx="28">
                  <c:v>84</c:v>
                </c:pt>
                <c:pt idx="29">
                  <c:v>309</c:v>
                </c:pt>
                <c:pt idx="30">
                  <c:v>451</c:v>
                </c:pt>
                <c:pt idx="31">
                  <c:v>451</c:v>
                </c:pt>
                <c:pt idx="32">
                  <c:v>476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8">
                  <c:v>-0.61999999999898137</c:v>
                </c:pt>
                <c:pt idx="20">
                  <c:v>4.9999999999272404E-2</c:v>
                </c:pt>
                <c:pt idx="21">
                  <c:v>9.2799999998533167E-2</c:v>
                </c:pt>
                <c:pt idx="22">
                  <c:v>0.1540000000022701</c:v>
                </c:pt>
                <c:pt idx="23">
                  <c:v>-3.1999999991967343E-3</c:v>
                </c:pt>
                <c:pt idx="24">
                  <c:v>5.9999999997671694E-2</c:v>
                </c:pt>
                <c:pt idx="25">
                  <c:v>4.3599999997240957E-2</c:v>
                </c:pt>
                <c:pt idx="26">
                  <c:v>8.6400000000139698E-2</c:v>
                </c:pt>
                <c:pt idx="27">
                  <c:v>-0.1503999999986263</c:v>
                </c:pt>
                <c:pt idx="28">
                  <c:v>-0.23640000000159489</c:v>
                </c:pt>
                <c:pt idx="29">
                  <c:v>0.25359999999636784</c:v>
                </c:pt>
                <c:pt idx="30">
                  <c:v>0.32839999999850988</c:v>
                </c:pt>
                <c:pt idx="31">
                  <c:v>0.35039999999571592</c:v>
                </c:pt>
                <c:pt idx="32">
                  <c:v>0.26039999999920838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94-4C47-B2A0-CDDF6110D5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-408</c:v>
                </c:pt>
                <c:pt idx="1">
                  <c:v>-400</c:v>
                </c:pt>
                <c:pt idx="2">
                  <c:v>-296</c:v>
                </c:pt>
                <c:pt idx="3">
                  <c:v>-119</c:v>
                </c:pt>
                <c:pt idx="4">
                  <c:v>-117</c:v>
                </c:pt>
                <c:pt idx="5">
                  <c:v>-104</c:v>
                </c:pt>
                <c:pt idx="6">
                  <c:v>-93</c:v>
                </c:pt>
                <c:pt idx="7">
                  <c:v>-76</c:v>
                </c:pt>
                <c:pt idx="8">
                  <c:v>-74</c:v>
                </c:pt>
                <c:pt idx="9">
                  <c:v>-72</c:v>
                </c:pt>
                <c:pt idx="10">
                  <c:v>-71</c:v>
                </c:pt>
                <c:pt idx="11">
                  <c:v>-70</c:v>
                </c:pt>
                <c:pt idx="12">
                  <c:v>-63</c:v>
                </c:pt>
                <c:pt idx="13">
                  <c:v>-63</c:v>
                </c:pt>
                <c:pt idx="14">
                  <c:v>-55</c:v>
                </c:pt>
                <c:pt idx="15">
                  <c:v>-37</c:v>
                </c:pt>
                <c:pt idx="16">
                  <c:v>-31</c:v>
                </c:pt>
                <c:pt idx="17">
                  <c:v>-31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25</c:v>
                </c:pt>
                <c:pt idx="25">
                  <c:v>34</c:v>
                </c:pt>
                <c:pt idx="26">
                  <c:v>41</c:v>
                </c:pt>
                <c:pt idx="27">
                  <c:v>49</c:v>
                </c:pt>
                <c:pt idx="28">
                  <c:v>84</c:v>
                </c:pt>
                <c:pt idx="29">
                  <c:v>309</c:v>
                </c:pt>
                <c:pt idx="30">
                  <c:v>451</c:v>
                </c:pt>
                <c:pt idx="31">
                  <c:v>451</c:v>
                </c:pt>
                <c:pt idx="32">
                  <c:v>476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94-4C47-B2A0-CDDF6110D5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-408</c:v>
                </c:pt>
                <c:pt idx="1">
                  <c:v>-400</c:v>
                </c:pt>
                <c:pt idx="2">
                  <c:v>-296</c:v>
                </c:pt>
                <c:pt idx="3">
                  <c:v>-119</c:v>
                </c:pt>
                <c:pt idx="4">
                  <c:v>-117</c:v>
                </c:pt>
                <c:pt idx="5">
                  <c:v>-104</c:v>
                </c:pt>
                <c:pt idx="6">
                  <c:v>-93</c:v>
                </c:pt>
                <c:pt idx="7">
                  <c:v>-76</c:v>
                </c:pt>
                <c:pt idx="8">
                  <c:v>-74</c:v>
                </c:pt>
                <c:pt idx="9">
                  <c:v>-72</c:v>
                </c:pt>
                <c:pt idx="10">
                  <c:v>-71</c:v>
                </c:pt>
                <c:pt idx="11">
                  <c:v>-70</c:v>
                </c:pt>
                <c:pt idx="12">
                  <c:v>-63</c:v>
                </c:pt>
                <c:pt idx="13">
                  <c:v>-63</c:v>
                </c:pt>
                <c:pt idx="14">
                  <c:v>-55</c:v>
                </c:pt>
                <c:pt idx="15">
                  <c:v>-37</c:v>
                </c:pt>
                <c:pt idx="16">
                  <c:v>-31</c:v>
                </c:pt>
                <c:pt idx="17">
                  <c:v>-31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25</c:v>
                </c:pt>
                <c:pt idx="25">
                  <c:v>34</c:v>
                </c:pt>
                <c:pt idx="26">
                  <c:v>41</c:v>
                </c:pt>
                <c:pt idx="27">
                  <c:v>49</c:v>
                </c:pt>
                <c:pt idx="28">
                  <c:v>84</c:v>
                </c:pt>
                <c:pt idx="29">
                  <c:v>309</c:v>
                </c:pt>
                <c:pt idx="30">
                  <c:v>451</c:v>
                </c:pt>
                <c:pt idx="31">
                  <c:v>451</c:v>
                </c:pt>
                <c:pt idx="32">
                  <c:v>476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94-4C47-B2A0-CDDF6110D5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-408</c:v>
                </c:pt>
                <c:pt idx="1">
                  <c:v>-400</c:v>
                </c:pt>
                <c:pt idx="2">
                  <c:v>-296</c:v>
                </c:pt>
                <c:pt idx="3">
                  <c:v>-119</c:v>
                </c:pt>
                <c:pt idx="4">
                  <c:v>-117</c:v>
                </c:pt>
                <c:pt idx="5">
                  <c:v>-104</c:v>
                </c:pt>
                <c:pt idx="6">
                  <c:v>-93</c:v>
                </c:pt>
                <c:pt idx="7">
                  <c:v>-76</c:v>
                </c:pt>
                <c:pt idx="8">
                  <c:v>-74</c:v>
                </c:pt>
                <c:pt idx="9">
                  <c:v>-72</c:v>
                </c:pt>
                <c:pt idx="10">
                  <c:v>-71</c:v>
                </c:pt>
                <c:pt idx="11">
                  <c:v>-70</c:v>
                </c:pt>
                <c:pt idx="12">
                  <c:v>-63</c:v>
                </c:pt>
                <c:pt idx="13">
                  <c:v>-63</c:v>
                </c:pt>
                <c:pt idx="14">
                  <c:v>-55</c:v>
                </c:pt>
                <c:pt idx="15">
                  <c:v>-37</c:v>
                </c:pt>
                <c:pt idx="16">
                  <c:v>-31</c:v>
                </c:pt>
                <c:pt idx="17">
                  <c:v>-31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25</c:v>
                </c:pt>
                <c:pt idx="25">
                  <c:v>34</c:v>
                </c:pt>
                <c:pt idx="26">
                  <c:v>41</c:v>
                </c:pt>
                <c:pt idx="27">
                  <c:v>49</c:v>
                </c:pt>
                <c:pt idx="28">
                  <c:v>84</c:v>
                </c:pt>
                <c:pt idx="29">
                  <c:v>309</c:v>
                </c:pt>
                <c:pt idx="30">
                  <c:v>451</c:v>
                </c:pt>
                <c:pt idx="31">
                  <c:v>451</c:v>
                </c:pt>
                <c:pt idx="32">
                  <c:v>476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94-4C47-B2A0-CDDF6110D5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-408</c:v>
                </c:pt>
                <c:pt idx="1">
                  <c:v>-400</c:v>
                </c:pt>
                <c:pt idx="2">
                  <c:v>-296</c:v>
                </c:pt>
                <c:pt idx="3">
                  <c:v>-119</c:v>
                </c:pt>
                <c:pt idx="4">
                  <c:v>-117</c:v>
                </c:pt>
                <c:pt idx="5">
                  <c:v>-104</c:v>
                </c:pt>
                <c:pt idx="6">
                  <c:v>-93</c:v>
                </c:pt>
                <c:pt idx="7">
                  <c:v>-76</c:v>
                </c:pt>
                <c:pt idx="8">
                  <c:v>-74</c:v>
                </c:pt>
                <c:pt idx="9">
                  <c:v>-72</c:v>
                </c:pt>
                <c:pt idx="10">
                  <c:v>-71</c:v>
                </c:pt>
                <c:pt idx="11">
                  <c:v>-70</c:v>
                </c:pt>
                <c:pt idx="12">
                  <c:v>-63</c:v>
                </c:pt>
                <c:pt idx="13">
                  <c:v>-63</c:v>
                </c:pt>
                <c:pt idx="14">
                  <c:v>-55</c:v>
                </c:pt>
                <c:pt idx="15">
                  <c:v>-37</c:v>
                </c:pt>
                <c:pt idx="16">
                  <c:v>-31</c:v>
                </c:pt>
                <c:pt idx="17">
                  <c:v>-31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25</c:v>
                </c:pt>
                <c:pt idx="25">
                  <c:v>34</c:v>
                </c:pt>
                <c:pt idx="26">
                  <c:v>41</c:v>
                </c:pt>
                <c:pt idx="27">
                  <c:v>49</c:v>
                </c:pt>
                <c:pt idx="28">
                  <c:v>84</c:v>
                </c:pt>
                <c:pt idx="29">
                  <c:v>309</c:v>
                </c:pt>
                <c:pt idx="30">
                  <c:v>451</c:v>
                </c:pt>
                <c:pt idx="31">
                  <c:v>451</c:v>
                </c:pt>
                <c:pt idx="32">
                  <c:v>476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94-4C47-B2A0-CDDF6110D5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-408</c:v>
                </c:pt>
                <c:pt idx="1">
                  <c:v>-400</c:v>
                </c:pt>
                <c:pt idx="2">
                  <c:v>-296</c:v>
                </c:pt>
                <c:pt idx="3">
                  <c:v>-119</c:v>
                </c:pt>
                <c:pt idx="4">
                  <c:v>-117</c:v>
                </c:pt>
                <c:pt idx="5">
                  <c:v>-104</c:v>
                </c:pt>
                <c:pt idx="6">
                  <c:v>-93</c:v>
                </c:pt>
                <c:pt idx="7">
                  <c:v>-76</c:v>
                </c:pt>
                <c:pt idx="8">
                  <c:v>-74</c:v>
                </c:pt>
                <c:pt idx="9">
                  <c:v>-72</c:v>
                </c:pt>
                <c:pt idx="10">
                  <c:v>-71</c:v>
                </c:pt>
                <c:pt idx="11">
                  <c:v>-70</c:v>
                </c:pt>
                <c:pt idx="12">
                  <c:v>-63</c:v>
                </c:pt>
                <c:pt idx="13">
                  <c:v>-63</c:v>
                </c:pt>
                <c:pt idx="14">
                  <c:v>-55</c:v>
                </c:pt>
                <c:pt idx="15">
                  <c:v>-37</c:v>
                </c:pt>
                <c:pt idx="16">
                  <c:v>-31</c:v>
                </c:pt>
                <c:pt idx="17">
                  <c:v>-31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25</c:v>
                </c:pt>
                <c:pt idx="25">
                  <c:v>34</c:v>
                </c:pt>
                <c:pt idx="26">
                  <c:v>41</c:v>
                </c:pt>
                <c:pt idx="27">
                  <c:v>49</c:v>
                </c:pt>
                <c:pt idx="28">
                  <c:v>84</c:v>
                </c:pt>
                <c:pt idx="29">
                  <c:v>309</c:v>
                </c:pt>
                <c:pt idx="30">
                  <c:v>451</c:v>
                </c:pt>
                <c:pt idx="31">
                  <c:v>451</c:v>
                </c:pt>
                <c:pt idx="32">
                  <c:v>476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94-4C47-B2A0-CDDF6110D5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-408</c:v>
                </c:pt>
                <c:pt idx="1">
                  <c:v>-400</c:v>
                </c:pt>
                <c:pt idx="2">
                  <c:v>-296</c:v>
                </c:pt>
                <c:pt idx="3">
                  <c:v>-119</c:v>
                </c:pt>
                <c:pt idx="4">
                  <c:v>-117</c:v>
                </c:pt>
                <c:pt idx="5">
                  <c:v>-104</c:v>
                </c:pt>
                <c:pt idx="6">
                  <c:v>-93</c:v>
                </c:pt>
                <c:pt idx="7">
                  <c:v>-76</c:v>
                </c:pt>
                <c:pt idx="8">
                  <c:v>-74</c:v>
                </c:pt>
                <c:pt idx="9">
                  <c:v>-72</c:v>
                </c:pt>
                <c:pt idx="10">
                  <c:v>-71</c:v>
                </c:pt>
                <c:pt idx="11">
                  <c:v>-70</c:v>
                </c:pt>
                <c:pt idx="12">
                  <c:v>-63</c:v>
                </c:pt>
                <c:pt idx="13">
                  <c:v>-63</c:v>
                </c:pt>
                <c:pt idx="14">
                  <c:v>-55</c:v>
                </c:pt>
                <c:pt idx="15">
                  <c:v>-37</c:v>
                </c:pt>
                <c:pt idx="16">
                  <c:v>-31</c:v>
                </c:pt>
                <c:pt idx="17">
                  <c:v>-31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25</c:v>
                </c:pt>
                <c:pt idx="25">
                  <c:v>34</c:v>
                </c:pt>
                <c:pt idx="26">
                  <c:v>41</c:v>
                </c:pt>
                <c:pt idx="27">
                  <c:v>49</c:v>
                </c:pt>
                <c:pt idx="28">
                  <c:v>84</c:v>
                </c:pt>
                <c:pt idx="29">
                  <c:v>309</c:v>
                </c:pt>
                <c:pt idx="30">
                  <c:v>451</c:v>
                </c:pt>
                <c:pt idx="31">
                  <c:v>451</c:v>
                </c:pt>
                <c:pt idx="32">
                  <c:v>476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-6.0674560333131893E-2</c:v>
                </c:pt>
                <c:pt idx="1">
                  <c:v>-5.8613910391469078E-2</c:v>
                </c:pt>
                <c:pt idx="2">
                  <c:v>-3.1825461149852637E-2</c:v>
                </c:pt>
                <c:pt idx="3">
                  <c:v>1.3766418809436895E-2</c:v>
                </c:pt>
                <c:pt idx="4">
                  <c:v>1.4281581294852595E-2</c:v>
                </c:pt>
                <c:pt idx="5">
                  <c:v>1.763013745005465E-2</c:v>
                </c:pt>
                <c:pt idx="6">
                  <c:v>2.0463531119841005E-2</c:v>
                </c:pt>
                <c:pt idx="7">
                  <c:v>2.4842412245874464E-2</c:v>
                </c:pt>
                <c:pt idx="8">
                  <c:v>2.5357574731290165E-2</c:v>
                </c:pt>
                <c:pt idx="9">
                  <c:v>2.5872737216705865E-2</c:v>
                </c:pt>
                <c:pt idx="10">
                  <c:v>2.6130318459413715E-2</c:v>
                </c:pt>
                <c:pt idx="11">
                  <c:v>2.6387899702121565E-2</c:v>
                </c:pt>
                <c:pt idx="12">
                  <c:v>2.8190968401076519E-2</c:v>
                </c:pt>
                <c:pt idx="13">
                  <c:v>2.8190968401076519E-2</c:v>
                </c:pt>
                <c:pt idx="14">
                  <c:v>3.0251618342739324E-2</c:v>
                </c:pt>
                <c:pt idx="15">
                  <c:v>3.4888080711480633E-2</c:v>
                </c:pt>
                <c:pt idx="16">
                  <c:v>3.6433568167727734E-2</c:v>
                </c:pt>
                <c:pt idx="17">
                  <c:v>3.6433568167727734E-2</c:v>
                </c:pt>
                <c:pt idx="18">
                  <c:v>4.4418586691671098E-2</c:v>
                </c:pt>
                <c:pt idx="19">
                  <c:v>4.4418586691671098E-2</c:v>
                </c:pt>
                <c:pt idx="20">
                  <c:v>4.4418586691671098E-2</c:v>
                </c:pt>
                <c:pt idx="21">
                  <c:v>4.6221655390626053E-2</c:v>
                </c:pt>
                <c:pt idx="22">
                  <c:v>4.69943991187496E-2</c:v>
                </c:pt>
                <c:pt idx="23">
                  <c:v>4.8797467817704554E-2</c:v>
                </c:pt>
                <c:pt idx="24">
                  <c:v>5.0858117759367362E-2</c:v>
                </c:pt>
                <c:pt idx="25">
                  <c:v>5.3176348943738017E-2</c:v>
                </c:pt>
                <c:pt idx="26">
                  <c:v>5.4979417642692971E-2</c:v>
                </c:pt>
                <c:pt idx="27">
                  <c:v>5.7040067584355772E-2</c:v>
                </c:pt>
                <c:pt idx="28">
                  <c:v>6.6055411079130544E-2</c:v>
                </c:pt>
                <c:pt idx="29">
                  <c:v>0.12401119068839689</c:v>
                </c:pt>
                <c:pt idx="30">
                  <c:v>0.16058772715291164</c:v>
                </c:pt>
                <c:pt idx="31">
                  <c:v>0.16058772715291164</c:v>
                </c:pt>
                <c:pt idx="32">
                  <c:v>0.1670272582206079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94-4C47-B2A0-CDDF6110D54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-408</c:v>
                </c:pt>
                <c:pt idx="1">
                  <c:v>-400</c:v>
                </c:pt>
                <c:pt idx="2">
                  <c:v>-296</c:v>
                </c:pt>
                <c:pt idx="3">
                  <c:v>-119</c:v>
                </c:pt>
                <c:pt idx="4">
                  <c:v>-117</c:v>
                </c:pt>
                <c:pt idx="5">
                  <c:v>-104</c:v>
                </c:pt>
                <c:pt idx="6">
                  <c:v>-93</c:v>
                </c:pt>
                <c:pt idx="7">
                  <c:v>-76</c:v>
                </c:pt>
                <c:pt idx="8">
                  <c:v>-74</c:v>
                </c:pt>
                <c:pt idx="9">
                  <c:v>-72</c:v>
                </c:pt>
                <c:pt idx="10">
                  <c:v>-71</c:v>
                </c:pt>
                <c:pt idx="11">
                  <c:v>-70</c:v>
                </c:pt>
                <c:pt idx="12">
                  <c:v>-63</c:v>
                </c:pt>
                <c:pt idx="13">
                  <c:v>-63</c:v>
                </c:pt>
                <c:pt idx="14">
                  <c:v>-55</c:v>
                </c:pt>
                <c:pt idx="15">
                  <c:v>-37</c:v>
                </c:pt>
                <c:pt idx="16">
                  <c:v>-31</c:v>
                </c:pt>
                <c:pt idx="17">
                  <c:v>-31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25</c:v>
                </c:pt>
                <c:pt idx="25">
                  <c:v>34</c:v>
                </c:pt>
                <c:pt idx="26">
                  <c:v>41</c:v>
                </c:pt>
                <c:pt idx="27">
                  <c:v>49</c:v>
                </c:pt>
                <c:pt idx="28">
                  <c:v>84</c:v>
                </c:pt>
                <c:pt idx="29">
                  <c:v>309</c:v>
                </c:pt>
                <c:pt idx="30">
                  <c:v>451</c:v>
                </c:pt>
                <c:pt idx="31">
                  <c:v>451</c:v>
                </c:pt>
                <c:pt idx="32">
                  <c:v>476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94-4C47-B2A0-CDDF6110D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135936"/>
        <c:axId val="1"/>
      </c:scatterChart>
      <c:valAx>
        <c:axId val="731135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0973628296464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020408163265307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135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15664113414395"/>
          <c:y val="0.91874999999999996"/>
          <c:w val="0.8180286392772331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1066799</xdr:colOff>
      <xdr:row>0</xdr:row>
      <xdr:rowOff>76199</xdr:rowOff>
    </xdr:from>
    <xdr:to>
      <xdr:col>18</xdr:col>
      <xdr:colOff>352424</xdr:colOff>
      <xdr:row>19</xdr:row>
      <xdr:rowOff>9524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596B02-C939-284B-6CED-995437FDC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57" TargetMode="External"/><Relationship Id="rId2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www.bav-astro.de/sfs/BAVM_link.php?BAVMnr=39" TargetMode="External"/><Relationship Id="rId4" Type="http://schemas.openxmlformats.org/officeDocument/2006/relationships/hyperlink" Target="http://www.bav-astro.de/sfs/BAVM_link.php?BAVMnr=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164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160</v>
      </c>
    </row>
    <row r="2" spans="1:6">
      <c r="A2" t="s">
        <v>25</v>
      </c>
    </row>
    <row r="4" spans="1:6">
      <c r="A4" s="8" t="s">
        <v>0</v>
      </c>
      <c r="C4" s="3">
        <v>31993.95</v>
      </c>
      <c r="D4" s="4">
        <v>45.379600000000003</v>
      </c>
    </row>
    <row r="5" spans="1:6">
      <c r="A5" s="33" t="s">
        <v>151</v>
      </c>
      <c r="B5" s="17"/>
      <c r="C5" s="34">
        <v>-9.5</v>
      </c>
      <c r="D5" s="17" t="s">
        <v>152</v>
      </c>
    </row>
    <row r="6" spans="1:6">
      <c r="A6" s="8" t="s">
        <v>1</v>
      </c>
    </row>
    <row r="7" spans="1:6">
      <c r="A7" t="s">
        <v>2</v>
      </c>
      <c r="C7">
        <f>+C4</f>
        <v>31993.95</v>
      </c>
    </row>
    <row r="8" spans="1:6">
      <c r="A8" t="s">
        <v>3</v>
      </c>
      <c r="C8">
        <f>+D4</f>
        <v>45.379600000000003</v>
      </c>
    </row>
    <row r="9" spans="1:6">
      <c r="A9" s="35" t="s">
        <v>153</v>
      </c>
      <c r="B9" s="36">
        <v>21</v>
      </c>
      <c r="C9" s="37" t="str">
        <f>"F"&amp;B9</f>
        <v>F21</v>
      </c>
      <c r="D9" s="38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39">
        <f ca="1">INTERCEPT(INDIRECT($D$9):G978,INDIRECT($C$9):F978)</f>
        <v>4.4418586691671098E-2</v>
      </c>
      <c r="D11" s="6"/>
    </row>
    <row r="12" spans="1:6">
      <c r="A12" t="s">
        <v>17</v>
      </c>
      <c r="C12" s="39">
        <f ca="1">SLOPE(INDIRECT($D$9):G978,INDIRECT($C$9):F978)</f>
        <v>2.5758124270785045E-4</v>
      </c>
      <c r="D12" s="6"/>
    </row>
    <row r="13" spans="1:6">
      <c r="A13" t="s">
        <v>19</v>
      </c>
      <c r="C13" s="6" t="s">
        <v>14</v>
      </c>
      <c r="D13" s="6"/>
    </row>
    <row r="14" spans="1:6">
      <c r="A14" t="s">
        <v>24</v>
      </c>
    </row>
    <row r="15" spans="1:6">
      <c r="A15" s="5" t="s">
        <v>18</v>
      </c>
      <c r="C15" s="11">
        <f ca="1">(C7+C11)+(C8+C12)*INT(MAX(F21:F3533))</f>
        <v>53594.806627258222</v>
      </c>
      <c r="E15" s="40" t="s">
        <v>154</v>
      </c>
      <c r="F15" s="34">
        <v>1</v>
      </c>
    </row>
    <row r="16" spans="1:6">
      <c r="A16" s="8" t="s">
        <v>4</v>
      </c>
      <c r="C16" s="12">
        <f ca="1">+C8+C12</f>
        <v>45.37985758124271</v>
      </c>
      <c r="E16" s="40" t="s">
        <v>155</v>
      </c>
      <c r="F16" s="41">
        <f ca="1">NOW()+15018.5+$C$5/24</f>
        <v>60340.661352314812</v>
      </c>
    </row>
    <row r="17" spans="1:21" ht="13.5" thickBot="1">
      <c r="A17" s="13" t="s">
        <v>35</v>
      </c>
      <c r="C17">
        <f>COUNT(C21:C2191)</f>
        <v>33</v>
      </c>
      <c r="E17" s="40" t="s">
        <v>156</v>
      </c>
      <c r="F17" s="41">
        <f ca="1">ROUND(2*(F16-$C$7)/$C$8,0)/2+F15</f>
        <v>625.5</v>
      </c>
    </row>
    <row r="18" spans="1:21">
      <c r="A18" s="8" t="s">
        <v>5</v>
      </c>
      <c r="C18" s="3">
        <f ca="1">+C15</f>
        <v>53594.806627258222</v>
      </c>
      <c r="D18" s="4">
        <f ca="1">+C16</f>
        <v>45.37985758124271</v>
      </c>
      <c r="E18" s="40" t="s">
        <v>157</v>
      </c>
      <c r="F18" s="38">
        <f ca="1">ROUND(2*(F16-$C$15)/$C$16,0)/2+F15</f>
        <v>149.5</v>
      </c>
    </row>
    <row r="19" spans="1:21" ht="13.5" thickTop="1">
      <c r="E19" s="40" t="s">
        <v>158</v>
      </c>
      <c r="F19" s="42">
        <f ca="1">+$C$15+$C$16*F18-15018.5-$C$5/24</f>
        <v>45360.991168987341</v>
      </c>
    </row>
    <row r="20" spans="1:2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29</v>
      </c>
      <c r="I20" s="10" t="s">
        <v>45</v>
      </c>
      <c r="J20" s="10" t="s">
        <v>40</v>
      </c>
      <c r="K20" s="10" t="s">
        <v>38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U20" s="43" t="s">
        <v>159</v>
      </c>
    </row>
    <row r="21" spans="1:21">
      <c r="A21" s="31" t="s">
        <v>52</v>
      </c>
      <c r="B21" s="32" t="s">
        <v>150</v>
      </c>
      <c r="C21" s="30">
        <v>13479</v>
      </c>
      <c r="D21" s="31" t="s">
        <v>45</v>
      </c>
      <c r="E21">
        <f t="shared" ref="E21:E53" si="0">+(C21-C$7)/C$8</f>
        <v>-408.00161305961268</v>
      </c>
      <c r="F21">
        <f t="shared" ref="F21:F53" si="1">ROUND(2*E21,0)/2</f>
        <v>-408</v>
      </c>
      <c r="G21">
        <f t="shared" ref="G21:G53" si="2">+C21-(C$7+F21*C$8)</f>
        <v>-7.3199999998905696E-2</v>
      </c>
      <c r="H21">
        <f t="shared" ref="H21:H38" si="3">+G21</f>
        <v>-7.3199999998905696E-2</v>
      </c>
      <c r="O21">
        <f t="shared" ref="O21:O53" ca="1" si="4">+C$11+C$12*F21</f>
        <v>-6.0674560333131893E-2</v>
      </c>
      <c r="Q21" s="2" t="s">
        <v>161</v>
      </c>
    </row>
    <row r="22" spans="1:21">
      <c r="A22" s="31" t="s">
        <v>52</v>
      </c>
      <c r="B22" s="32" t="s">
        <v>150</v>
      </c>
      <c r="C22" s="31">
        <v>13842</v>
      </c>
      <c r="D22" s="31" t="s">
        <v>45</v>
      </c>
      <c r="E22">
        <f t="shared" si="0"/>
        <v>-400.00242399668571</v>
      </c>
      <c r="F22">
        <f t="shared" si="1"/>
        <v>-400</v>
      </c>
      <c r="G22">
        <f t="shared" si="2"/>
        <v>-0.11000000000058208</v>
      </c>
      <c r="H22">
        <f t="shared" si="3"/>
        <v>-0.11000000000058208</v>
      </c>
      <c r="O22">
        <f t="shared" ca="1" si="4"/>
        <v>-5.8613910391469078E-2</v>
      </c>
      <c r="Q22" s="2" t="s">
        <v>162</v>
      </c>
    </row>
    <row r="23" spans="1:21">
      <c r="A23" s="31" t="s">
        <v>52</v>
      </c>
      <c r="B23" s="32" t="s">
        <v>150</v>
      </c>
      <c r="C23" s="31">
        <v>18561.599999999999</v>
      </c>
      <c r="D23" s="31" t="s">
        <v>45</v>
      </c>
      <c r="E23">
        <f t="shared" si="0"/>
        <v>-295.99974437853137</v>
      </c>
      <c r="F23">
        <f t="shared" si="1"/>
        <v>-296</v>
      </c>
      <c r="G23">
        <f t="shared" si="2"/>
        <v>1.1599999997997656E-2</v>
      </c>
      <c r="H23">
        <f t="shared" si="3"/>
        <v>1.1599999997997656E-2</v>
      </c>
      <c r="O23">
        <f t="shared" ca="1" si="4"/>
        <v>-3.1825461149852637E-2</v>
      </c>
      <c r="Q23" s="2">
        <f t="shared" ref="Q21:Q53" si="5">+C23-15018.5</f>
        <v>3543.0999999999985</v>
      </c>
    </row>
    <row r="24" spans="1:21">
      <c r="A24" s="31" t="s">
        <v>62</v>
      </c>
      <c r="B24" s="32" t="s">
        <v>150</v>
      </c>
      <c r="C24" s="31">
        <v>26594.9</v>
      </c>
      <c r="D24" s="31" t="s">
        <v>45</v>
      </c>
      <c r="E24">
        <f t="shared" si="0"/>
        <v>-118.97526641927207</v>
      </c>
      <c r="F24">
        <f t="shared" si="1"/>
        <v>-119</v>
      </c>
      <c r="G24">
        <f t="shared" si="2"/>
        <v>1.1224000000001979</v>
      </c>
      <c r="H24">
        <f t="shared" si="3"/>
        <v>1.1224000000001979</v>
      </c>
      <c r="O24">
        <f t="shared" ca="1" si="4"/>
        <v>1.3766418809436895E-2</v>
      </c>
      <c r="Q24" s="2">
        <f t="shared" si="5"/>
        <v>11576.400000000001</v>
      </c>
    </row>
    <row r="25" spans="1:21">
      <c r="A25" s="31" t="s">
        <v>62</v>
      </c>
      <c r="B25" s="32" t="s">
        <v>150</v>
      </c>
      <c r="C25" s="31">
        <v>26685.67</v>
      </c>
      <c r="D25" s="31" t="s">
        <v>45</v>
      </c>
      <c r="E25">
        <f t="shared" si="0"/>
        <v>-116.97502842687027</v>
      </c>
      <c r="F25">
        <f t="shared" si="1"/>
        <v>-117</v>
      </c>
      <c r="G25">
        <f t="shared" si="2"/>
        <v>1.1331999999965774</v>
      </c>
      <c r="H25">
        <f t="shared" si="3"/>
        <v>1.1331999999965774</v>
      </c>
      <c r="O25">
        <f t="shared" ca="1" si="4"/>
        <v>1.4281581294852595E-2</v>
      </c>
      <c r="Q25" s="2">
        <f t="shared" si="5"/>
        <v>11667.169999999998</v>
      </c>
    </row>
    <row r="26" spans="1:21">
      <c r="A26" s="31" t="s">
        <v>62</v>
      </c>
      <c r="B26" s="32" t="s">
        <v>150</v>
      </c>
      <c r="C26" s="31">
        <v>27274.85</v>
      </c>
      <c r="D26" s="31" t="s">
        <v>45</v>
      </c>
      <c r="E26">
        <f t="shared" si="0"/>
        <v>-103.99166145140111</v>
      </c>
      <c r="F26">
        <f t="shared" si="1"/>
        <v>-104</v>
      </c>
      <c r="G26">
        <f t="shared" si="2"/>
        <v>0.37839999999778229</v>
      </c>
      <c r="H26">
        <f t="shared" si="3"/>
        <v>0.37839999999778229</v>
      </c>
      <c r="O26">
        <f t="shared" ca="1" si="4"/>
        <v>1.763013745005465E-2</v>
      </c>
      <c r="Q26" s="2">
        <f t="shared" si="5"/>
        <v>12256.349999999999</v>
      </c>
    </row>
    <row r="27" spans="1:21">
      <c r="A27" s="31" t="s">
        <v>74</v>
      </c>
      <c r="B27" s="32" t="s">
        <v>150</v>
      </c>
      <c r="C27" s="31">
        <v>27774</v>
      </c>
      <c r="D27" s="31" t="s">
        <v>45</v>
      </c>
      <c r="E27">
        <f t="shared" si="0"/>
        <v>-92.992225581538847</v>
      </c>
      <c r="F27">
        <f t="shared" si="1"/>
        <v>-93</v>
      </c>
      <c r="G27">
        <f t="shared" si="2"/>
        <v>0.35280000000057044</v>
      </c>
      <c r="H27">
        <f t="shared" si="3"/>
        <v>0.35280000000057044</v>
      </c>
      <c r="O27">
        <f t="shared" ca="1" si="4"/>
        <v>2.0463531119841005E-2</v>
      </c>
      <c r="Q27" s="2">
        <f t="shared" si="5"/>
        <v>12755.5</v>
      </c>
    </row>
    <row r="28" spans="1:21">
      <c r="A28" s="31" t="s">
        <v>79</v>
      </c>
      <c r="B28" s="32" t="s">
        <v>150</v>
      </c>
      <c r="C28" s="31">
        <v>28545.23</v>
      </c>
      <c r="D28" s="31" t="s">
        <v>45</v>
      </c>
      <c r="E28">
        <f t="shared" si="0"/>
        <v>-75.99714409117756</v>
      </c>
      <c r="F28">
        <f t="shared" si="1"/>
        <v>-76</v>
      </c>
      <c r="G28">
        <f t="shared" si="2"/>
        <v>0.12960000000020955</v>
      </c>
      <c r="H28">
        <f t="shared" si="3"/>
        <v>0.12960000000020955</v>
      </c>
      <c r="O28">
        <f t="shared" ca="1" si="4"/>
        <v>2.4842412245874464E-2</v>
      </c>
      <c r="Q28" s="2">
        <f t="shared" si="5"/>
        <v>13526.73</v>
      </c>
    </row>
    <row r="29" spans="1:21">
      <c r="A29" s="31" t="s">
        <v>79</v>
      </c>
      <c r="B29" s="32" t="s">
        <v>150</v>
      </c>
      <c r="C29" s="31">
        <v>28635.61</v>
      </c>
      <c r="D29" s="31" t="s">
        <v>45</v>
      </c>
      <c r="E29">
        <f t="shared" si="0"/>
        <v>-74.005500268843264</v>
      </c>
      <c r="F29">
        <f t="shared" si="1"/>
        <v>-74</v>
      </c>
      <c r="G29">
        <f t="shared" si="2"/>
        <v>-0.24959999999919091</v>
      </c>
      <c r="H29">
        <f t="shared" si="3"/>
        <v>-0.24959999999919091</v>
      </c>
      <c r="O29">
        <f t="shared" ca="1" si="4"/>
        <v>2.5357574731290165E-2</v>
      </c>
      <c r="Q29" s="2">
        <f t="shared" si="5"/>
        <v>13617.11</v>
      </c>
    </row>
    <row r="30" spans="1:21">
      <c r="A30" s="31" t="s">
        <v>52</v>
      </c>
      <c r="B30" s="32" t="s">
        <v>150</v>
      </c>
      <c r="C30" s="31">
        <v>28726.5</v>
      </c>
      <c r="D30" s="31" t="s">
        <v>45</v>
      </c>
      <c r="E30">
        <f t="shared" si="0"/>
        <v>-72.002617916420604</v>
      </c>
      <c r="F30">
        <f t="shared" si="1"/>
        <v>-72</v>
      </c>
      <c r="G30">
        <f t="shared" si="2"/>
        <v>-0.11880000000019209</v>
      </c>
      <c r="H30">
        <f t="shared" si="3"/>
        <v>-0.11880000000019209</v>
      </c>
      <c r="O30">
        <f t="shared" ca="1" si="4"/>
        <v>2.5872737216705865E-2</v>
      </c>
      <c r="Q30" s="2">
        <f t="shared" si="5"/>
        <v>13708</v>
      </c>
    </row>
    <row r="31" spans="1:21">
      <c r="A31" s="31" t="s">
        <v>52</v>
      </c>
      <c r="B31" s="32" t="s">
        <v>150</v>
      </c>
      <c r="C31" s="31">
        <v>28771.599999999999</v>
      </c>
      <c r="D31" s="31" t="s">
        <v>45</v>
      </c>
      <c r="E31">
        <f t="shared" si="0"/>
        <v>-71.008779275269106</v>
      </c>
      <c r="F31">
        <f t="shared" si="1"/>
        <v>-71</v>
      </c>
      <c r="G31">
        <f t="shared" si="2"/>
        <v>-0.39840000000185682</v>
      </c>
      <c r="H31">
        <f t="shared" si="3"/>
        <v>-0.39840000000185682</v>
      </c>
      <c r="O31">
        <f t="shared" ca="1" si="4"/>
        <v>2.6130318459413715E-2</v>
      </c>
      <c r="Q31" s="2">
        <f t="shared" si="5"/>
        <v>13753.099999999999</v>
      </c>
    </row>
    <row r="32" spans="1:21">
      <c r="A32" s="31" t="s">
        <v>79</v>
      </c>
      <c r="B32" s="32" t="s">
        <v>150</v>
      </c>
      <c r="C32" s="31">
        <v>28817.4</v>
      </c>
      <c r="D32" s="31" t="s">
        <v>45</v>
      </c>
      <c r="E32">
        <f t="shared" si="0"/>
        <v>-69.999515200662827</v>
      </c>
      <c r="F32">
        <f t="shared" si="1"/>
        <v>-70</v>
      </c>
      <c r="G32">
        <f t="shared" si="2"/>
        <v>2.2000000000844011E-2</v>
      </c>
      <c r="H32">
        <f t="shared" si="3"/>
        <v>2.2000000000844011E-2</v>
      </c>
      <c r="O32">
        <f t="shared" ca="1" si="4"/>
        <v>2.6387899702121565E-2</v>
      </c>
      <c r="Q32" s="2">
        <f t="shared" si="5"/>
        <v>13798.900000000001</v>
      </c>
    </row>
    <row r="33" spans="1:29">
      <c r="A33" s="31" t="s">
        <v>52</v>
      </c>
      <c r="B33" s="32" t="s">
        <v>150</v>
      </c>
      <c r="C33" s="31">
        <v>29135</v>
      </c>
      <c r="D33" s="31" t="s">
        <v>45</v>
      </c>
      <c r="E33">
        <f t="shared" si="0"/>
        <v>-63.000775678939448</v>
      </c>
      <c r="F33">
        <f t="shared" si="1"/>
        <v>-63</v>
      </c>
      <c r="G33">
        <f t="shared" si="2"/>
        <v>-3.5200000002078013E-2</v>
      </c>
      <c r="H33">
        <f t="shared" si="3"/>
        <v>-3.5200000002078013E-2</v>
      </c>
      <c r="O33">
        <f t="shared" ca="1" si="4"/>
        <v>2.8190968401076519E-2</v>
      </c>
      <c r="Q33" s="2">
        <f t="shared" si="5"/>
        <v>14116.5</v>
      </c>
    </row>
    <row r="34" spans="1:29">
      <c r="A34" s="31" t="s">
        <v>79</v>
      </c>
      <c r="B34" s="32" t="s">
        <v>150</v>
      </c>
      <c r="C34" s="31">
        <v>29135.45</v>
      </c>
      <c r="D34" s="31" t="s">
        <v>45</v>
      </c>
      <c r="E34">
        <f t="shared" si="0"/>
        <v>-62.990859328861418</v>
      </c>
      <c r="F34">
        <f t="shared" si="1"/>
        <v>-63</v>
      </c>
      <c r="G34">
        <f t="shared" si="2"/>
        <v>0.41479999999864958</v>
      </c>
      <c r="H34">
        <f t="shared" si="3"/>
        <v>0.41479999999864958</v>
      </c>
      <c r="O34">
        <f t="shared" ca="1" si="4"/>
        <v>2.8190968401076519E-2</v>
      </c>
      <c r="Q34" s="2">
        <f t="shared" si="5"/>
        <v>14116.95</v>
      </c>
    </row>
    <row r="35" spans="1:29">
      <c r="A35" s="31" t="s">
        <v>52</v>
      </c>
      <c r="B35" s="32" t="s">
        <v>150</v>
      </c>
      <c r="C35" s="31">
        <v>29498</v>
      </c>
      <c r="D35" s="31" t="s">
        <v>45</v>
      </c>
      <c r="E35">
        <f t="shared" si="0"/>
        <v>-55.001586616012496</v>
      </c>
      <c r="F35">
        <f t="shared" si="1"/>
        <v>-55</v>
      </c>
      <c r="G35">
        <f t="shared" si="2"/>
        <v>-7.2000000000116415E-2</v>
      </c>
      <c r="H35">
        <f t="shared" si="3"/>
        <v>-7.2000000000116415E-2</v>
      </c>
      <c r="O35">
        <f t="shared" ca="1" si="4"/>
        <v>3.0251618342739324E-2</v>
      </c>
      <c r="Q35" s="2">
        <f t="shared" si="5"/>
        <v>14479.5</v>
      </c>
    </row>
    <row r="36" spans="1:29">
      <c r="A36" s="31" t="s">
        <v>79</v>
      </c>
      <c r="B36" s="32" t="s">
        <v>150</v>
      </c>
      <c r="C36" s="31">
        <v>30313.3</v>
      </c>
      <c r="D36" s="31" t="s">
        <v>45</v>
      </c>
      <c r="E36">
        <f t="shared" si="0"/>
        <v>-37.035363908011561</v>
      </c>
      <c r="F36">
        <f t="shared" si="1"/>
        <v>-37</v>
      </c>
      <c r="G36">
        <f t="shared" si="2"/>
        <v>-1.6048000000009779</v>
      </c>
      <c r="H36">
        <f t="shared" si="3"/>
        <v>-1.6048000000009779</v>
      </c>
      <c r="O36">
        <f t="shared" ca="1" si="4"/>
        <v>3.4888080711480633E-2</v>
      </c>
      <c r="Q36" s="2">
        <f t="shared" si="5"/>
        <v>15294.8</v>
      </c>
    </row>
    <row r="37" spans="1:29">
      <c r="A37" s="31" t="s">
        <v>52</v>
      </c>
      <c r="B37" s="32" t="s">
        <v>150</v>
      </c>
      <c r="C37" s="31">
        <v>30587</v>
      </c>
      <c r="D37" s="31" t="s">
        <v>45</v>
      </c>
      <c r="E37">
        <f t="shared" si="0"/>
        <v>-31.004019427231633</v>
      </c>
      <c r="F37">
        <f t="shared" si="1"/>
        <v>-31</v>
      </c>
      <c r="G37">
        <f t="shared" si="2"/>
        <v>-0.18240000000150758</v>
      </c>
      <c r="H37">
        <f t="shared" si="3"/>
        <v>-0.18240000000150758</v>
      </c>
      <c r="O37">
        <f t="shared" ca="1" si="4"/>
        <v>3.6433568167727734E-2</v>
      </c>
      <c r="Q37" s="2">
        <f t="shared" si="5"/>
        <v>15568.5</v>
      </c>
    </row>
    <row r="38" spans="1:29">
      <c r="A38" s="31" t="s">
        <v>108</v>
      </c>
      <c r="B38" s="32" t="s">
        <v>150</v>
      </c>
      <c r="C38" s="31">
        <v>30587.200000000001</v>
      </c>
      <c r="D38" s="31" t="s">
        <v>45</v>
      </c>
      <c r="E38">
        <f t="shared" si="0"/>
        <v>-30.99961216053028</v>
      </c>
      <c r="F38">
        <f t="shared" si="1"/>
        <v>-31</v>
      </c>
      <c r="G38">
        <f t="shared" si="2"/>
        <v>1.7599999999220017E-2</v>
      </c>
      <c r="H38">
        <f t="shared" si="3"/>
        <v>1.7599999999220017E-2</v>
      </c>
      <c r="O38">
        <f t="shared" ca="1" si="4"/>
        <v>3.6433568167727734E-2</v>
      </c>
      <c r="Q38" s="2">
        <f t="shared" si="5"/>
        <v>15568.7</v>
      </c>
    </row>
    <row r="39" spans="1:29">
      <c r="A39" t="s">
        <v>30</v>
      </c>
      <c r="C39" s="15">
        <v>31993.33</v>
      </c>
      <c r="D39" s="14"/>
      <c r="E39">
        <f t="shared" si="0"/>
        <v>-1.3662526774122762E-2</v>
      </c>
      <c r="F39">
        <f t="shared" si="1"/>
        <v>0</v>
      </c>
      <c r="G39">
        <f t="shared" si="2"/>
        <v>-0.61999999999898137</v>
      </c>
      <c r="I39">
        <f>+G39</f>
        <v>-0.61999999999898137</v>
      </c>
      <c r="O39">
        <f t="shared" ca="1" si="4"/>
        <v>4.4418586691671098E-2</v>
      </c>
      <c r="Q39" s="2">
        <f t="shared" si="5"/>
        <v>16974.830000000002</v>
      </c>
      <c r="AA39" t="s">
        <v>29</v>
      </c>
      <c r="AC39" t="s">
        <v>31</v>
      </c>
    </row>
    <row r="40" spans="1:29">
      <c r="A40" t="s">
        <v>12</v>
      </c>
      <c r="C40" s="14">
        <v>31993.95</v>
      </c>
      <c r="D40" s="14" t="s">
        <v>14</v>
      </c>
      <c r="E40">
        <f t="shared" si="0"/>
        <v>0</v>
      </c>
      <c r="F40">
        <f t="shared" si="1"/>
        <v>0</v>
      </c>
      <c r="G40">
        <f t="shared" si="2"/>
        <v>0</v>
      </c>
      <c r="H40">
        <f>+G40</f>
        <v>0</v>
      </c>
      <c r="O40">
        <f t="shared" ca="1" si="4"/>
        <v>4.4418586691671098E-2</v>
      </c>
      <c r="Q40" s="2">
        <f t="shared" si="5"/>
        <v>16975.45</v>
      </c>
    </row>
    <row r="41" spans="1:29">
      <c r="A41" t="s">
        <v>32</v>
      </c>
      <c r="C41" s="15">
        <v>31994</v>
      </c>
      <c r="D41" s="14"/>
      <c r="E41">
        <f t="shared" si="0"/>
        <v>1.1018166753182575E-3</v>
      </c>
      <c r="F41">
        <f t="shared" si="1"/>
        <v>0</v>
      </c>
      <c r="G41">
        <f t="shared" si="2"/>
        <v>4.9999999999272404E-2</v>
      </c>
      <c r="I41">
        <f t="shared" ref="I41:I53" si="6">+G41</f>
        <v>4.9999999999272404E-2</v>
      </c>
      <c r="O41">
        <f t="shared" ca="1" si="4"/>
        <v>4.4418586691671098E-2</v>
      </c>
      <c r="Q41" s="2">
        <f t="shared" si="5"/>
        <v>16975.5</v>
      </c>
      <c r="AA41" t="s">
        <v>29</v>
      </c>
      <c r="AC41" t="s">
        <v>31</v>
      </c>
    </row>
    <row r="42" spans="1:29">
      <c r="A42" t="s">
        <v>32</v>
      </c>
      <c r="C42" s="15">
        <v>32311.7</v>
      </c>
      <c r="D42" s="14"/>
      <c r="E42">
        <f t="shared" si="0"/>
        <v>7.0020449717494202</v>
      </c>
      <c r="F42">
        <f t="shared" si="1"/>
        <v>7</v>
      </c>
      <c r="G42">
        <f t="shared" si="2"/>
        <v>9.2799999998533167E-2</v>
      </c>
      <c r="I42">
        <f t="shared" si="6"/>
        <v>9.2799999998533167E-2</v>
      </c>
      <c r="O42">
        <f t="shared" ca="1" si="4"/>
        <v>4.6221655390626053E-2</v>
      </c>
      <c r="Q42" s="2">
        <f t="shared" si="5"/>
        <v>17293.2</v>
      </c>
      <c r="AA42" t="s">
        <v>29</v>
      </c>
      <c r="AC42" t="s">
        <v>31</v>
      </c>
    </row>
    <row r="43" spans="1:29">
      <c r="A43" t="s">
        <v>32</v>
      </c>
      <c r="C43" s="15">
        <v>32447.9</v>
      </c>
      <c r="D43" s="14"/>
      <c r="E43">
        <f t="shared" si="0"/>
        <v>10.003393595360045</v>
      </c>
      <c r="F43">
        <f t="shared" si="1"/>
        <v>10</v>
      </c>
      <c r="G43">
        <f t="shared" si="2"/>
        <v>0.1540000000022701</v>
      </c>
      <c r="I43">
        <f t="shared" si="6"/>
        <v>0.1540000000022701</v>
      </c>
      <c r="O43">
        <f t="shared" ca="1" si="4"/>
        <v>4.69943991187496E-2</v>
      </c>
      <c r="Q43" s="2">
        <f t="shared" si="5"/>
        <v>17429.400000000001</v>
      </c>
      <c r="AA43" t="s">
        <v>29</v>
      </c>
      <c r="AC43" t="s">
        <v>31</v>
      </c>
    </row>
    <row r="44" spans="1:29">
      <c r="A44" t="s">
        <v>32</v>
      </c>
      <c r="C44" s="15">
        <v>32765.4</v>
      </c>
      <c r="D44" s="14"/>
      <c r="E44">
        <f t="shared" si="0"/>
        <v>16.999929483732792</v>
      </c>
      <c r="F44">
        <f t="shared" si="1"/>
        <v>17</v>
      </c>
      <c r="G44">
        <f t="shared" si="2"/>
        <v>-3.1999999991967343E-3</v>
      </c>
      <c r="I44">
        <f t="shared" si="6"/>
        <v>-3.1999999991967343E-3</v>
      </c>
      <c r="O44">
        <f t="shared" ca="1" si="4"/>
        <v>4.8797467817704554E-2</v>
      </c>
      <c r="Q44" s="2">
        <f t="shared" si="5"/>
        <v>17746.900000000001</v>
      </c>
      <c r="AA44" t="s">
        <v>29</v>
      </c>
      <c r="AC44" t="s">
        <v>31</v>
      </c>
    </row>
    <row r="45" spans="1:29">
      <c r="A45" t="s">
        <v>32</v>
      </c>
      <c r="C45" s="15">
        <v>33128.5</v>
      </c>
      <c r="D45" s="14"/>
      <c r="E45">
        <f t="shared" si="0"/>
        <v>25.001322180010384</v>
      </c>
      <c r="F45">
        <f t="shared" si="1"/>
        <v>25</v>
      </c>
      <c r="G45">
        <f t="shared" si="2"/>
        <v>5.9999999997671694E-2</v>
      </c>
      <c r="I45">
        <f t="shared" si="6"/>
        <v>5.9999999997671694E-2</v>
      </c>
      <c r="O45">
        <f t="shared" ca="1" si="4"/>
        <v>5.0858117759367362E-2</v>
      </c>
      <c r="Q45" s="2">
        <f t="shared" si="5"/>
        <v>18110</v>
      </c>
      <c r="AA45" t="s">
        <v>29</v>
      </c>
      <c r="AC45" t="s">
        <v>31</v>
      </c>
    </row>
    <row r="46" spans="1:29">
      <c r="A46" t="s">
        <v>32</v>
      </c>
      <c r="C46" s="15">
        <v>33536.9</v>
      </c>
      <c r="D46" s="14"/>
      <c r="E46">
        <f t="shared" si="0"/>
        <v>34.000960784140908</v>
      </c>
      <c r="F46">
        <f t="shared" si="1"/>
        <v>34</v>
      </c>
      <c r="G46">
        <f t="shared" si="2"/>
        <v>4.3599999997240957E-2</v>
      </c>
      <c r="I46">
        <f t="shared" si="6"/>
        <v>4.3599999997240957E-2</v>
      </c>
      <c r="O46">
        <f t="shared" ca="1" si="4"/>
        <v>5.3176348943738017E-2</v>
      </c>
      <c r="Q46" s="2">
        <f t="shared" si="5"/>
        <v>18518.400000000001</v>
      </c>
      <c r="AA46" t="s">
        <v>29</v>
      </c>
      <c r="AC46" t="s">
        <v>31</v>
      </c>
    </row>
    <row r="47" spans="1:29">
      <c r="A47" t="s">
        <v>32</v>
      </c>
      <c r="C47" s="15">
        <v>33854.6</v>
      </c>
      <c r="D47" s="14"/>
      <c r="E47">
        <f t="shared" si="0"/>
        <v>41.001903939214927</v>
      </c>
      <c r="F47">
        <f t="shared" si="1"/>
        <v>41</v>
      </c>
      <c r="G47">
        <f t="shared" si="2"/>
        <v>8.6400000000139698E-2</v>
      </c>
      <c r="I47">
        <f t="shared" si="6"/>
        <v>8.6400000000139698E-2</v>
      </c>
      <c r="O47">
        <f t="shared" ca="1" si="4"/>
        <v>5.4979417642692971E-2</v>
      </c>
      <c r="Q47" s="2">
        <f t="shared" si="5"/>
        <v>18836.099999999999</v>
      </c>
      <c r="AA47" t="s">
        <v>29</v>
      </c>
      <c r="AC47" t="s">
        <v>31</v>
      </c>
    </row>
    <row r="48" spans="1:29">
      <c r="A48" t="s">
        <v>32</v>
      </c>
      <c r="C48" s="15">
        <v>34217.4</v>
      </c>
      <c r="D48" s="14"/>
      <c r="E48">
        <f t="shared" si="0"/>
        <v>48.996685735440607</v>
      </c>
      <c r="F48">
        <f t="shared" si="1"/>
        <v>49</v>
      </c>
      <c r="G48">
        <f t="shared" si="2"/>
        <v>-0.1503999999986263</v>
      </c>
      <c r="I48">
        <f t="shared" si="6"/>
        <v>-0.1503999999986263</v>
      </c>
      <c r="O48">
        <f t="shared" ca="1" si="4"/>
        <v>5.7040067584355772E-2</v>
      </c>
      <c r="Q48" s="2">
        <f t="shared" si="5"/>
        <v>19198.900000000001</v>
      </c>
      <c r="AA48" t="s">
        <v>29</v>
      </c>
      <c r="AC48" t="s">
        <v>31</v>
      </c>
    </row>
    <row r="49" spans="1:29">
      <c r="A49" t="s">
        <v>32</v>
      </c>
      <c r="C49" s="15">
        <v>35805.599999999999</v>
      </c>
      <c r="D49" s="14"/>
      <c r="E49">
        <f t="shared" si="0"/>
        <v>83.994790610758969</v>
      </c>
      <c r="F49">
        <f t="shared" si="1"/>
        <v>84</v>
      </c>
      <c r="G49">
        <f t="shared" si="2"/>
        <v>-0.23640000000159489</v>
      </c>
      <c r="I49">
        <f t="shared" si="6"/>
        <v>-0.23640000000159489</v>
      </c>
      <c r="O49">
        <f t="shared" ca="1" si="4"/>
        <v>6.6055411079130544E-2</v>
      </c>
      <c r="Q49" s="2">
        <f t="shared" si="5"/>
        <v>20787.099999999999</v>
      </c>
      <c r="AA49" t="s">
        <v>29</v>
      </c>
      <c r="AC49" t="s">
        <v>31</v>
      </c>
    </row>
    <row r="50" spans="1:29">
      <c r="A50" t="s">
        <v>34</v>
      </c>
      <c r="C50" s="15">
        <v>46016.5</v>
      </c>
      <c r="D50" s="14"/>
      <c r="E50">
        <f t="shared" si="0"/>
        <v>309.00558841417728</v>
      </c>
      <c r="F50">
        <f t="shared" si="1"/>
        <v>309</v>
      </c>
      <c r="G50">
        <f t="shared" si="2"/>
        <v>0.25359999999636784</v>
      </c>
      <c r="I50">
        <f t="shared" si="6"/>
        <v>0.25359999999636784</v>
      </c>
      <c r="O50">
        <f t="shared" ca="1" si="4"/>
        <v>0.12401119068839689</v>
      </c>
      <c r="Q50" s="2">
        <f t="shared" si="5"/>
        <v>30998</v>
      </c>
      <c r="AA50" t="s">
        <v>33</v>
      </c>
      <c r="AC50" t="s">
        <v>31</v>
      </c>
    </row>
    <row r="51" spans="1:29">
      <c r="A51" s="31" t="s">
        <v>143</v>
      </c>
      <c r="B51" s="32" t="s">
        <v>150</v>
      </c>
      <c r="C51" s="31">
        <v>52460.478000000003</v>
      </c>
      <c r="D51" s="31" t="s">
        <v>45</v>
      </c>
      <c r="E51">
        <f t="shared" si="0"/>
        <v>451.00723673192363</v>
      </c>
      <c r="F51">
        <f t="shared" si="1"/>
        <v>451</v>
      </c>
      <c r="G51">
        <f t="shared" si="2"/>
        <v>0.32839999999850988</v>
      </c>
      <c r="I51">
        <f t="shared" si="6"/>
        <v>0.32839999999850988</v>
      </c>
      <c r="O51">
        <f t="shared" ca="1" si="4"/>
        <v>0.16058772715291164</v>
      </c>
      <c r="Q51" s="2">
        <f t="shared" si="5"/>
        <v>37441.978000000003</v>
      </c>
    </row>
    <row r="52" spans="1:29">
      <c r="A52" s="31" t="s">
        <v>143</v>
      </c>
      <c r="B52" s="32" t="s">
        <v>150</v>
      </c>
      <c r="C52" s="31">
        <v>52460.5</v>
      </c>
      <c r="D52" s="31" t="s">
        <v>45</v>
      </c>
      <c r="E52">
        <f t="shared" si="0"/>
        <v>451.0077215312607</v>
      </c>
      <c r="F52">
        <f t="shared" si="1"/>
        <v>451</v>
      </c>
      <c r="G52">
        <f t="shared" si="2"/>
        <v>0.35039999999571592</v>
      </c>
      <c r="I52">
        <f t="shared" si="6"/>
        <v>0.35039999999571592</v>
      </c>
      <c r="O52">
        <f t="shared" ca="1" si="4"/>
        <v>0.16058772715291164</v>
      </c>
      <c r="Q52" s="2">
        <f t="shared" si="5"/>
        <v>37442</v>
      </c>
    </row>
    <row r="53" spans="1:29">
      <c r="A53" s="31" t="s">
        <v>149</v>
      </c>
      <c r="B53" s="32" t="s">
        <v>150</v>
      </c>
      <c r="C53" s="31">
        <v>53594.9</v>
      </c>
      <c r="D53" s="31" t="s">
        <v>45</v>
      </c>
      <c r="E53">
        <f t="shared" si="0"/>
        <v>476.00573826124514</v>
      </c>
      <c r="F53">
        <f t="shared" si="1"/>
        <v>476</v>
      </c>
      <c r="G53">
        <f t="shared" si="2"/>
        <v>0.26039999999920838</v>
      </c>
      <c r="I53">
        <f t="shared" si="6"/>
        <v>0.26039999999920838</v>
      </c>
      <c r="O53">
        <f t="shared" ca="1" si="4"/>
        <v>0.1670272582206079</v>
      </c>
      <c r="Q53" s="2">
        <f t="shared" si="5"/>
        <v>38576.400000000001</v>
      </c>
    </row>
    <row r="54" spans="1:29">
      <c r="B54" s="6"/>
      <c r="C54" s="14"/>
      <c r="D54" s="14"/>
    </row>
    <row r="55" spans="1:29">
      <c r="B55" s="6"/>
      <c r="C55" s="14"/>
      <c r="D55" s="14"/>
    </row>
    <row r="56" spans="1:29">
      <c r="B56" s="6"/>
      <c r="C56" s="14"/>
      <c r="D56" s="14"/>
    </row>
    <row r="57" spans="1:29">
      <c r="B57" s="6"/>
      <c r="C57" s="14"/>
      <c r="D57" s="14"/>
    </row>
    <row r="58" spans="1:29">
      <c r="B58" s="6"/>
      <c r="C58" s="14"/>
      <c r="D58" s="14"/>
    </row>
    <row r="59" spans="1:29">
      <c r="B59" s="6"/>
      <c r="C59" s="14"/>
      <c r="D59" s="14"/>
    </row>
    <row r="60" spans="1:29">
      <c r="B60" s="6"/>
      <c r="C60" s="14"/>
      <c r="D60" s="14"/>
    </row>
    <row r="61" spans="1:29">
      <c r="B61" s="6"/>
      <c r="C61" s="14"/>
      <c r="D61" s="14"/>
    </row>
    <row r="62" spans="1:29">
      <c r="B62" s="6"/>
      <c r="C62" s="14"/>
      <c r="D62" s="14"/>
    </row>
    <row r="63" spans="1:29">
      <c r="B63" s="6"/>
      <c r="C63" s="14"/>
      <c r="D63" s="14"/>
    </row>
    <row r="64" spans="1:29">
      <c r="B64" s="6"/>
      <c r="C64" s="14"/>
      <c r="D64" s="14"/>
    </row>
    <row r="65" spans="2:4">
      <c r="B65" s="6"/>
      <c r="C65" s="14"/>
      <c r="D65" s="14"/>
    </row>
    <row r="66" spans="2:4">
      <c r="B66" s="6"/>
      <c r="C66" s="14"/>
      <c r="D66" s="14"/>
    </row>
    <row r="67" spans="2:4">
      <c r="B67" s="6"/>
      <c r="C67" s="14"/>
      <c r="D67" s="14"/>
    </row>
    <row r="68" spans="2:4">
      <c r="B68" s="6"/>
      <c r="C68" s="14"/>
      <c r="D68" s="14"/>
    </row>
    <row r="69" spans="2:4">
      <c r="B69" s="6"/>
      <c r="C69" s="14"/>
      <c r="D69" s="14"/>
    </row>
    <row r="70" spans="2:4">
      <c r="B70" s="6"/>
      <c r="C70" s="14"/>
      <c r="D70" s="14"/>
    </row>
    <row r="71" spans="2:4">
      <c r="B71" s="6"/>
      <c r="C71" s="14"/>
      <c r="D71" s="14"/>
    </row>
    <row r="72" spans="2:4">
      <c r="B72" s="6"/>
      <c r="C72" s="14"/>
      <c r="D72" s="14"/>
    </row>
    <row r="73" spans="2:4">
      <c r="B73" s="6"/>
      <c r="C73" s="14"/>
      <c r="D73" s="14"/>
    </row>
    <row r="74" spans="2:4">
      <c r="B74" s="6"/>
      <c r="C74" s="14"/>
      <c r="D74" s="14"/>
    </row>
    <row r="75" spans="2:4">
      <c r="C75" s="14"/>
      <c r="D75" s="14"/>
    </row>
    <row r="76" spans="2:4">
      <c r="C76" s="14"/>
      <c r="D76" s="14"/>
    </row>
    <row r="77" spans="2:4">
      <c r="C77" s="14"/>
      <c r="D77" s="14"/>
    </row>
    <row r="78" spans="2:4">
      <c r="C78" s="14"/>
      <c r="D78" s="14"/>
    </row>
    <row r="79" spans="2:4">
      <c r="C79" s="14"/>
      <c r="D79" s="14"/>
    </row>
    <row r="80" spans="2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4"/>
  <sheetViews>
    <sheetView workbookViewId="0">
      <selection activeCell="A22" sqref="A22:D42"/>
    </sheetView>
  </sheetViews>
  <sheetFormatPr defaultRowHeight="12.75"/>
  <cols>
    <col min="1" max="1" width="19.7109375" style="14" customWidth="1"/>
    <col min="2" max="2" width="4.42578125" style="17" customWidth="1"/>
    <col min="3" max="3" width="12.7109375" style="14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4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16" t="s">
        <v>36</v>
      </c>
      <c r="I1" s="18" t="s">
        <v>37</v>
      </c>
      <c r="J1" s="19" t="s">
        <v>38</v>
      </c>
    </row>
    <row r="2" spans="1:16">
      <c r="I2" s="20" t="s">
        <v>39</v>
      </c>
      <c r="J2" s="21" t="s">
        <v>40</v>
      </c>
    </row>
    <row r="3" spans="1:16">
      <c r="A3" s="22" t="s">
        <v>41</v>
      </c>
      <c r="I3" s="20" t="s">
        <v>42</v>
      </c>
      <c r="J3" s="21" t="s">
        <v>29</v>
      </c>
    </row>
    <row r="4" spans="1:16">
      <c r="I4" s="20" t="s">
        <v>43</v>
      </c>
      <c r="J4" s="21" t="s">
        <v>29</v>
      </c>
    </row>
    <row r="5" spans="1:16" ht="13.5" thickBot="1">
      <c r="I5" s="23" t="s">
        <v>44</v>
      </c>
      <c r="J5" s="24" t="s">
        <v>45</v>
      </c>
    </row>
    <row r="10" spans="1:16" ht="13.5" thickBot="1"/>
    <row r="11" spans="1:16" ht="12.75" customHeight="1" thickBot="1">
      <c r="A11" s="14" t="str">
        <f t="shared" ref="A11:A42" si="0">P11</f>
        <v> PZ 14.59 </v>
      </c>
      <c r="B11" s="6" t="str">
        <f t="shared" ref="B11:B42" si="1">IF(H11=INT(H11),"I","II")</f>
        <v>I</v>
      </c>
      <c r="C11" s="14">
        <f t="shared" ref="C11:C42" si="2">1*G11</f>
        <v>31993.33</v>
      </c>
      <c r="D11" s="17" t="str">
        <f t="shared" ref="D11:D42" si="3">VLOOKUP(F11,I$1:J$5,2,FALSE)</f>
        <v>vis</v>
      </c>
      <c r="E11" s="25">
        <f>VLOOKUP(C11,Active!C$21:E$973,3,FALSE)</f>
        <v>-1.3662526774122762E-2</v>
      </c>
      <c r="F11" s="6" t="s">
        <v>44</v>
      </c>
      <c r="G11" s="17" t="str">
        <f t="shared" ref="G11:G42" si="4">MID(I11,3,LEN(I11)-3)</f>
        <v>31993.33</v>
      </c>
      <c r="H11" s="14">
        <f t="shared" ref="H11:H42" si="5">1*K11</f>
        <v>0</v>
      </c>
      <c r="I11" s="26" t="s">
        <v>109</v>
      </c>
      <c r="J11" s="27" t="s">
        <v>110</v>
      </c>
      <c r="K11" s="26">
        <v>0</v>
      </c>
      <c r="L11" s="26" t="s">
        <v>111</v>
      </c>
      <c r="M11" s="27" t="s">
        <v>46</v>
      </c>
      <c r="N11" s="27"/>
      <c r="O11" s="28" t="s">
        <v>112</v>
      </c>
      <c r="P11" s="28" t="s">
        <v>113</v>
      </c>
    </row>
    <row r="12" spans="1:16" ht="12.75" customHeight="1" thickBot="1">
      <c r="A12" s="14" t="str">
        <f t="shared" si="0"/>
        <v> AJ 64.263 </v>
      </c>
      <c r="B12" s="6" t="str">
        <f t="shared" si="1"/>
        <v>I</v>
      </c>
      <c r="C12" s="14">
        <f t="shared" si="2"/>
        <v>31994</v>
      </c>
      <c r="D12" s="17" t="str">
        <f t="shared" si="3"/>
        <v>vis</v>
      </c>
      <c r="E12" s="25">
        <f>VLOOKUP(C12,Active!C$21:E$973,3,FALSE)</f>
        <v>1.1018166753182575E-3</v>
      </c>
      <c r="F12" s="6" t="s">
        <v>44</v>
      </c>
      <c r="G12" s="17" t="str">
        <f t="shared" si="4"/>
        <v>31994.0</v>
      </c>
      <c r="H12" s="14">
        <f t="shared" si="5"/>
        <v>0</v>
      </c>
      <c r="I12" s="26" t="s">
        <v>114</v>
      </c>
      <c r="J12" s="27" t="s">
        <v>115</v>
      </c>
      <c r="K12" s="26">
        <v>0</v>
      </c>
      <c r="L12" s="26" t="s">
        <v>57</v>
      </c>
      <c r="M12" s="27" t="s">
        <v>46</v>
      </c>
      <c r="N12" s="27"/>
      <c r="O12" s="28" t="s">
        <v>107</v>
      </c>
      <c r="P12" s="28" t="s">
        <v>108</v>
      </c>
    </row>
    <row r="13" spans="1:16" ht="12.75" customHeight="1" thickBot="1">
      <c r="A13" s="14" t="str">
        <f t="shared" si="0"/>
        <v> AJ 64.263 </v>
      </c>
      <c r="B13" s="6" t="str">
        <f t="shared" si="1"/>
        <v>I</v>
      </c>
      <c r="C13" s="14">
        <f t="shared" si="2"/>
        <v>32311.7</v>
      </c>
      <c r="D13" s="17" t="str">
        <f t="shared" si="3"/>
        <v>vis</v>
      </c>
      <c r="E13" s="25">
        <f>VLOOKUP(C13,Active!C$21:E$973,3,FALSE)</f>
        <v>7.0020449717494202</v>
      </c>
      <c r="F13" s="6" t="s">
        <v>44</v>
      </c>
      <c r="G13" s="17" t="str">
        <f t="shared" si="4"/>
        <v>32311.7</v>
      </c>
      <c r="H13" s="14">
        <f t="shared" si="5"/>
        <v>7</v>
      </c>
      <c r="I13" s="26" t="s">
        <v>116</v>
      </c>
      <c r="J13" s="27" t="s">
        <v>117</v>
      </c>
      <c r="K13" s="26">
        <v>7</v>
      </c>
      <c r="L13" s="26" t="s">
        <v>118</v>
      </c>
      <c r="M13" s="27" t="s">
        <v>46</v>
      </c>
      <c r="N13" s="27"/>
      <c r="O13" s="28" t="s">
        <v>107</v>
      </c>
      <c r="P13" s="28" t="s">
        <v>108</v>
      </c>
    </row>
    <row r="14" spans="1:16" ht="12.75" customHeight="1" thickBot="1">
      <c r="A14" s="14" t="str">
        <f t="shared" si="0"/>
        <v> AJ 64.263 </v>
      </c>
      <c r="B14" s="6" t="str">
        <f t="shared" si="1"/>
        <v>I</v>
      </c>
      <c r="C14" s="14">
        <f t="shared" si="2"/>
        <v>32447.9</v>
      </c>
      <c r="D14" s="17" t="str">
        <f t="shared" si="3"/>
        <v>vis</v>
      </c>
      <c r="E14" s="25">
        <f>VLOOKUP(C14,Active!C$21:E$973,3,FALSE)</f>
        <v>10.003393595360045</v>
      </c>
      <c r="F14" s="6" t="s">
        <v>44</v>
      </c>
      <c r="G14" s="17" t="str">
        <f t="shared" si="4"/>
        <v>32447.9</v>
      </c>
      <c r="H14" s="14">
        <f t="shared" si="5"/>
        <v>10</v>
      </c>
      <c r="I14" s="26" t="s">
        <v>119</v>
      </c>
      <c r="J14" s="27" t="s">
        <v>120</v>
      </c>
      <c r="K14" s="26">
        <v>10</v>
      </c>
      <c r="L14" s="26" t="s">
        <v>121</v>
      </c>
      <c r="M14" s="27" t="s">
        <v>46</v>
      </c>
      <c r="N14" s="27"/>
      <c r="O14" s="28" t="s">
        <v>107</v>
      </c>
      <c r="P14" s="28" t="s">
        <v>108</v>
      </c>
    </row>
    <row r="15" spans="1:16" ht="12.75" customHeight="1" thickBot="1">
      <c r="A15" s="14" t="str">
        <f t="shared" si="0"/>
        <v> AJ 64.263 </v>
      </c>
      <c r="B15" s="6" t="str">
        <f t="shared" si="1"/>
        <v>I</v>
      </c>
      <c r="C15" s="14">
        <f t="shared" si="2"/>
        <v>32765.4</v>
      </c>
      <c r="D15" s="17" t="str">
        <f t="shared" si="3"/>
        <v>vis</v>
      </c>
      <c r="E15" s="25">
        <f>VLOOKUP(C15,Active!C$21:E$973,3,FALSE)</f>
        <v>16.999929483732792</v>
      </c>
      <c r="F15" s="6" t="s">
        <v>44</v>
      </c>
      <c r="G15" s="17" t="str">
        <f t="shared" si="4"/>
        <v>32765.4</v>
      </c>
      <c r="H15" s="14">
        <f t="shared" si="5"/>
        <v>17</v>
      </c>
      <c r="I15" s="26" t="s">
        <v>122</v>
      </c>
      <c r="J15" s="27" t="s">
        <v>123</v>
      </c>
      <c r="K15" s="26">
        <v>17</v>
      </c>
      <c r="L15" s="26" t="s">
        <v>93</v>
      </c>
      <c r="M15" s="27" t="s">
        <v>46</v>
      </c>
      <c r="N15" s="27"/>
      <c r="O15" s="28" t="s">
        <v>107</v>
      </c>
      <c r="P15" s="28" t="s">
        <v>108</v>
      </c>
    </row>
    <row r="16" spans="1:16" ht="12.75" customHeight="1" thickBot="1">
      <c r="A16" s="14" t="str">
        <f t="shared" si="0"/>
        <v> AJ 64.263 </v>
      </c>
      <c r="B16" s="6" t="str">
        <f t="shared" si="1"/>
        <v>I</v>
      </c>
      <c r="C16" s="14">
        <f t="shared" si="2"/>
        <v>33128.5</v>
      </c>
      <c r="D16" s="17" t="str">
        <f t="shared" si="3"/>
        <v>vis</v>
      </c>
      <c r="E16" s="25">
        <f>VLOOKUP(C16,Active!C$21:E$973,3,FALSE)</f>
        <v>25.001322180010384</v>
      </c>
      <c r="F16" s="6" t="s">
        <v>44</v>
      </c>
      <c r="G16" s="17" t="str">
        <f t="shared" si="4"/>
        <v>33128.5</v>
      </c>
      <c r="H16" s="14">
        <f t="shared" si="5"/>
        <v>25</v>
      </c>
      <c r="I16" s="26" t="s">
        <v>124</v>
      </c>
      <c r="J16" s="27" t="s">
        <v>125</v>
      </c>
      <c r="K16" s="26">
        <v>25</v>
      </c>
      <c r="L16" s="26" t="s">
        <v>118</v>
      </c>
      <c r="M16" s="27" t="s">
        <v>46</v>
      </c>
      <c r="N16" s="27"/>
      <c r="O16" s="28" t="s">
        <v>107</v>
      </c>
      <c r="P16" s="28" t="s">
        <v>108</v>
      </c>
    </row>
    <row r="17" spans="1:16" ht="12.75" customHeight="1" thickBot="1">
      <c r="A17" s="14" t="str">
        <f t="shared" si="0"/>
        <v> AJ 64.263 </v>
      </c>
      <c r="B17" s="6" t="str">
        <f t="shared" si="1"/>
        <v>I</v>
      </c>
      <c r="C17" s="14">
        <f t="shared" si="2"/>
        <v>33536.9</v>
      </c>
      <c r="D17" s="17" t="str">
        <f t="shared" si="3"/>
        <v>vis</v>
      </c>
      <c r="E17" s="25">
        <f>VLOOKUP(C17,Active!C$21:E$973,3,FALSE)</f>
        <v>34.000960784140908</v>
      </c>
      <c r="F17" s="6" t="s">
        <v>44</v>
      </c>
      <c r="G17" s="17" t="str">
        <f t="shared" si="4"/>
        <v>33536.9</v>
      </c>
      <c r="H17" s="14">
        <f t="shared" si="5"/>
        <v>34</v>
      </c>
      <c r="I17" s="26" t="s">
        <v>126</v>
      </c>
      <c r="J17" s="27" t="s">
        <v>127</v>
      </c>
      <c r="K17" s="26">
        <v>34</v>
      </c>
      <c r="L17" s="26" t="s">
        <v>57</v>
      </c>
      <c r="M17" s="27" t="s">
        <v>46</v>
      </c>
      <c r="N17" s="27"/>
      <c r="O17" s="28" t="s">
        <v>107</v>
      </c>
      <c r="P17" s="28" t="s">
        <v>108</v>
      </c>
    </row>
    <row r="18" spans="1:16" ht="12.75" customHeight="1" thickBot="1">
      <c r="A18" s="14" t="str">
        <f t="shared" si="0"/>
        <v> AJ 64.263 </v>
      </c>
      <c r="B18" s="6" t="str">
        <f t="shared" si="1"/>
        <v>I</v>
      </c>
      <c r="C18" s="14">
        <f t="shared" si="2"/>
        <v>33854.6</v>
      </c>
      <c r="D18" s="17" t="str">
        <f t="shared" si="3"/>
        <v>vis</v>
      </c>
      <c r="E18" s="25">
        <f>VLOOKUP(C18,Active!C$21:E$973,3,FALSE)</f>
        <v>41.001903939214927</v>
      </c>
      <c r="F18" s="6" t="s">
        <v>44</v>
      </c>
      <c r="G18" s="17" t="str">
        <f t="shared" si="4"/>
        <v>33854.6</v>
      </c>
      <c r="H18" s="14">
        <f t="shared" si="5"/>
        <v>41</v>
      </c>
      <c r="I18" s="26" t="s">
        <v>128</v>
      </c>
      <c r="J18" s="27" t="s">
        <v>129</v>
      </c>
      <c r="K18" s="26">
        <v>41</v>
      </c>
      <c r="L18" s="26" t="s">
        <v>118</v>
      </c>
      <c r="M18" s="27" t="s">
        <v>46</v>
      </c>
      <c r="N18" s="27"/>
      <c r="O18" s="28" t="s">
        <v>107</v>
      </c>
      <c r="P18" s="28" t="s">
        <v>108</v>
      </c>
    </row>
    <row r="19" spans="1:16" ht="12.75" customHeight="1" thickBot="1">
      <c r="A19" s="14" t="str">
        <f t="shared" si="0"/>
        <v> AJ 64.263 </v>
      </c>
      <c r="B19" s="6" t="str">
        <f t="shared" si="1"/>
        <v>I</v>
      </c>
      <c r="C19" s="14">
        <f t="shared" si="2"/>
        <v>34217.4</v>
      </c>
      <c r="D19" s="17" t="str">
        <f t="shared" si="3"/>
        <v>vis</v>
      </c>
      <c r="E19" s="25">
        <f>VLOOKUP(C19,Active!C$21:E$973,3,FALSE)</f>
        <v>48.996685735440607</v>
      </c>
      <c r="F19" s="6" t="s">
        <v>44</v>
      </c>
      <c r="G19" s="17" t="str">
        <f t="shared" si="4"/>
        <v>34217.4</v>
      </c>
      <c r="H19" s="14">
        <f t="shared" si="5"/>
        <v>49</v>
      </c>
      <c r="I19" s="26" t="s">
        <v>130</v>
      </c>
      <c r="J19" s="27" t="s">
        <v>131</v>
      </c>
      <c r="K19" s="26">
        <v>49</v>
      </c>
      <c r="L19" s="26" t="s">
        <v>104</v>
      </c>
      <c r="M19" s="27" t="s">
        <v>46</v>
      </c>
      <c r="N19" s="27"/>
      <c r="O19" s="28" t="s">
        <v>107</v>
      </c>
      <c r="P19" s="28" t="s">
        <v>108</v>
      </c>
    </row>
    <row r="20" spans="1:16" ht="12.75" customHeight="1" thickBot="1">
      <c r="A20" s="14" t="str">
        <f t="shared" si="0"/>
        <v> AJ 64.263 </v>
      </c>
      <c r="B20" s="6" t="str">
        <f t="shared" si="1"/>
        <v>I</v>
      </c>
      <c r="C20" s="14">
        <f t="shared" si="2"/>
        <v>35805.599999999999</v>
      </c>
      <c r="D20" s="17" t="str">
        <f t="shared" si="3"/>
        <v>vis</v>
      </c>
      <c r="E20" s="25">
        <f>VLOOKUP(C20,Active!C$21:E$973,3,FALSE)</f>
        <v>83.994790610758969</v>
      </c>
      <c r="F20" s="6" t="s">
        <v>44</v>
      </c>
      <c r="G20" s="17" t="str">
        <f t="shared" si="4"/>
        <v>35805.6</v>
      </c>
      <c r="H20" s="14">
        <f t="shared" si="5"/>
        <v>84</v>
      </c>
      <c r="I20" s="26" t="s">
        <v>132</v>
      </c>
      <c r="J20" s="27" t="s">
        <v>133</v>
      </c>
      <c r="K20" s="26">
        <v>84</v>
      </c>
      <c r="L20" s="26" t="s">
        <v>104</v>
      </c>
      <c r="M20" s="27" t="s">
        <v>50</v>
      </c>
      <c r="N20" s="27"/>
      <c r="O20" s="28" t="s">
        <v>107</v>
      </c>
      <c r="P20" s="28" t="s">
        <v>108</v>
      </c>
    </row>
    <row r="21" spans="1:16" ht="12.75" customHeight="1" thickBot="1">
      <c r="A21" s="14" t="str">
        <f t="shared" si="0"/>
        <v>BAVM 39 </v>
      </c>
      <c r="B21" s="6" t="str">
        <f t="shared" si="1"/>
        <v>I</v>
      </c>
      <c r="C21" s="14">
        <f t="shared" si="2"/>
        <v>46016.5</v>
      </c>
      <c r="D21" s="17" t="str">
        <f t="shared" si="3"/>
        <v>vis</v>
      </c>
      <c r="E21" s="25">
        <f>VLOOKUP(C21,Active!C$21:E$973,3,FALSE)</f>
        <v>309.00558841417728</v>
      </c>
      <c r="F21" s="6" t="s">
        <v>44</v>
      </c>
      <c r="G21" s="17" t="str">
        <f t="shared" si="4"/>
        <v>46016.500</v>
      </c>
      <c r="H21" s="14">
        <f t="shared" si="5"/>
        <v>309</v>
      </c>
      <c r="I21" s="26" t="s">
        <v>134</v>
      </c>
      <c r="J21" s="27" t="s">
        <v>135</v>
      </c>
      <c r="K21" s="26">
        <v>309</v>
      </c>
      <c r="L21" s="26" t="s">
        <v>136</v>
      </c>
      <c r="M21" s="27" t="s">
        <v>72</v>
      </c>
      <c r="N21" s="27"/>
      <c r="O21" s="28" t="s">
        <v>137</v>
      </c>
      <c r="P21" s="29" t="s">
        <v>138</v>
      </c>
    </row>
    <row r="22" spans="1:16" ht="12.75" customHeight="1" thickBot="1">
      <c r="A22" s="14" t="str">
        <f t="shared" si="0"/>
        <v> PZ 7.266 </v>
      </c>
      <c r="B22" s="6" t="str">
        <f t="shared" si="1"/>
        <v>I</v>
      </c>
      <c r="C22" s="14">
        <f t="shared" si="2"/>
        <v>13479</v>
      </c>
      <c r="D22" s="17" t="str">
        <f t="shared" si="3"/>
        <v>vis</v>
      </c>
      <c r="E22" s="25">
        <f>VLOOKUP(C22,Active!C$21:E$973,3,FALSE)</f>
        <v>-408.00161305961268</v>
      </c>
      <c r="F22" s="6" t="s">
        <v>44</v>
      </c>
      <c r="G22" s="17" t="str">
        <f t="shared" si="4"/>
        <v>13479.0</v>
      </c>
      <c r="H22" s="14">
        <f t="shared" si="5"/>
        <v>-408</v>
      </c>
      <c r="I22" s="26" t="s">
        <v>47</v>
      </c>
      <c r="J22" s="27" t="s">
        <v>48</v>
      </c>
      <c r="K22" s="26">
        <v>-408</v>
      </c>
      <c r="L22" s="26" t="s">
        <v>49</v>
      </c>
      <c r="M22" s="27" t="s">
        <v>50</v>
      </c>
      <c r="N22" s="27"/>
      <c r="O22" s="28" t="s">
        <v>51</v>
      </c>
      <c r="P22" s="28" t="s">
        <v>52</v>
      </c>
    </row>
    <row r="23" spans="1:16" ht="12.75" customHeight="1" thickBot="1">
      <c r="A23" s="14" t="str">
        <f t="shared" si="0"/>
        <v> PZ 7.266 </v>
      </c>
      <c r="B23" s="6" t="str">
        <f t="shared" si="1"/>
        <v>I</v>
      </c>
      <c r="C23" s="14">
        <f t="shared" si="2"/>
        <v>13842</v>
      </c>
      <c r="D23" s="17" t="str">
        <f t="shared" si="3"/>
        <v>vis</v>
      </c>
      <c r="E23" s="25">
        <f>VLOOKUP(C23,Active!C$21:E$973,3,FALSE)</f>
        <v>-400.00242399668571</v>
      </c>
      <c r="F23" s="6" t="s">
        <v>44</v>
      </c>
      <c r="G23" s="17" t="str">
        <f t="shared" si="4"/>
        <v>13842.0</v>
      </c>
      <c r="H23" s="14">
        <f t="shared" si="5"/>
        <v>-400</v>
      </c>
      <c r="I23" s="26" t="s">
        <v>53</v>
      </c>
      <c r="J23" s="27" t="s">
        <v>54</v>
      </c>
      <c r="K23" s="26">
        <v>-400</v>
      </c>
      <c r="L23" s="26" t="s">
        <v>49</v>
      </c>
      <c r="M23" s="27" t="s">
        <v>50</v>
      </c>
      <c r="N23" s="27"/>
      <c r="O23" s="28" t="s">
        <v>51</v>
      </c>
      <c r="P23" s="28" t="s">
        <v>52</v>
      </c>
    </row>
    <row r="24" spans="1:16" ht="12.75" customHeight="1" thickBot="1">
      <c r="A24" s="14" t="str">
        <f t="shared" si="0"/>
        <v> PZ 7.266 </v>
      </c>
      <c r="B24" s="6" t="str">
        <f t="shared" si="1"/>
        <v>I</v>
      </c>
      <c r="C24" s="14">
        <f t="shared" si="2"/>
        <v>18561.599999999999</v>
      </c>
      <c r="D24" s="17" t="str">
        <f t="shared" si="3"/>
        <v>vis</v>
      </c>
      <c r="E24" s="25">
        <f>VLOOKUP(C24,Active!C$21:E$973,3,FALSE)</f>
        <v>-295.99974437853137</v>
      </c>
      <c r="F24" s="6" t="s">
        <v>44</v>
      </c>
      <c r="G24" s="17" t="str">
        <f t="shared" si="4"/>
        <v>18561.6</v>
      </c>
      <c r="H24" s="14">
        <f t="shared" si="5"/>
        <v>-296</v>
      </c>
      <c r="I24" s="26" t="s">
        <v>55</v>
      </c>
      <c r="J24" s="27" t="s">
        <v>56</v>
      </c>
      <c r="K24" s="26">
        <v>-296</v>
      </c>
      <c r="L24" s="26" t="s">
        <v>57</v>
      </c>
      <c r="M24" s="27" t="s">
        <v>50</v>
      </c>
      <c r="N24" s="27"/>
      <c r="O24" s="28" t="s">
        <v>51</v>
      </c>
      <c r="P24" s="28" t="s">
        <v>52</v>
      </c>
    </row>
    <row r="25" spans="1:16" ht="12.75" customHeight="1" thickBot="1">
      <c r="A25" s="14" t="str">
        <f t="shared" si="0"/>
        <v> PZ 4.268 </v>
      </c>
      <c r="B25" s="6" t="str">
        <f t="shared" si="1"/>
        <v>I</v>
      </c>
      <c r="C25" s="14">
        <f t="shared" si="2"/>
        <v>26594.9</v>
      </c>
      <c r="D25" s="17" t="str">
        <f t="shared" si="3"/>
        <v>vis</v>
      </c>
      <c r="E25" s="25">
        <f>VLOOKUP(C25,Active!C$21:E$973,3,FALSE)</f>
        <v>-118.97526641927207</v>
      </c>
      <c r="F25" s="6" t="s">
        <v>44</v>
      </c>
      <c r="G25" s="17" t="str">
        <f t="shared" si="4"/>
        <v>26594.90</v>
      </c>
      <c r="H25" s="14">
        <f t="shared" si="5"/>
        <v>-119</v>
      </c>
      <c r="I25" s="26" t="s">
        <v>58</v>
      </c>
      <c r="J25" s="27" t="s">
        <v>59</v>
      </c>
      <c r="K25" s="26">
        <v>-119</v>
      </c>
      <c r="L25" s="26" t="s">
        <v>60</v>
      </c>
      <c r="M25" s="27" t="s">
        <v>50</v>
      </c>
      <c r="N25" s="27"/>
      <c r="O25" s="28" t="s">
        <v>61</v>
      </c>
      <c r="P25" s="28" t="s">
        <v>62</v>
      </c>
    </row>
    <row r="26" spans="1:16" ht="12.75" customHeight="1" thickBot="1">
      <c r="A26" s="14" t="str">
        <f t="shared" si="0"/>
        <v> PZ 4.268 </v>
      </c>
      <c r="B26" s="6" t="str">
        <f t="shared" si="1"/>
        <v>I</v>
      </c>
      <c r="C26" s="14">
        <f t="shared" si="2"/>
        <v>26685.67</v>
      </c>
      <c r="D26" s="17" t="str">
        <f t="shared" si="3"/>
        <v>vis</v>
      </c>
      <c r="E26" s="25">
        <f>VLOOKUP(C26,Active!C$21:E$973,3,FALSE)</f>
        <v>-116.97502842687027</v>
      </c>
      <c r="F26" s="6" t="s">
        <v>44</v>
      </c>
      <c r="G26" s="17" t="str">
        <f t="shared" si="4"/>
        <v>26685.67</v>
      </c>
      <c r="H26" s="14">
        <f t="shared" si="5"/>
        <v>-117</v>
      </c>
      <c r="I26" s="26" t="s">
        <v>63</v>
      </c>
      <c r="J26" s="27" t="s">
        <v>64</v>
      </c>
      <c r="K26" s="26">
        <v>-117</v>
      </c>
      <c r="L26" s="26" t="s">
        <v>65</v>
      </c>
      <c r="M26" s="27" t="s">
        <v>50</v>
      </c>
      <c r="N26" s="27"/>
      <c r="O26" s="28" t="s">
        <v>61</v>
      </c>
      <c r="P26" s="28" t="s">
        <v>62</v>
      </c>
    </row>
    <row r="27" spans="1:16" ht="12.75" customHeight="1" thickBot="1">
      <c r="A27" s="14" t="str">
        <f t="shared" si="0"/>
        <v> PZ 4.268 </v>
      </c>
      <c r="B27" s="6" t="str">
        <f t="shared" si="1"/>
        <v>I</v>
      </c>
      <c r="C27" s="14">
        <f t="shared" si="2"/>
        <v>27274.85</v>
      </c>
      <c r="D27" s="17" t="str">
        <f t="shared" si="3"/>
        <v>vis</v>
      </c>
      <c r="E27" s="25">
        <f>VLOOKUP(C27,Active!C$21:E$973,3,FALSE)</f>
        <v>-103.99166145140111</v>
      </c>
      <c r="F27" s="6" t="s">
        <v>44</v>
      </c>
      <c r="G27" s="17" t="str">
        <f t="shared" si="4"/>
        <v>27274.85</v>
      </c>
      <c r="H27" s="14">
        <f t="shared" si="5"/>
        <v>-104</v>
      </c>
      <c r="I27" s="26" t="s">
        <v>66</v>
      </c>
      <c r="J27" s="27" t="s">
        <v>67</v>
      </c>
      <c r="K27" s="26">
        <v>-104</v>
      </c>
      <c r="L27" s="26" t="s">
        <v>68</v>
      </c>
      <c r="M27" s="27" t="s">
        <v>50</v>
      </c>
      <c r="N27" s="27"/>
      <c r="O27" s="28" t="s">
        <v>61</v>
      </c>
      <c r="P27" s="28" t="s">
        <v>62</v>
      </c>
    </row>
    <row r="28" spans="1:16" ht="12.75" customHeight="1" thickBot="1">
      <c r="A28" s="14" t="str">
        <f t="shared" si="0"/>
        <v> AAC 2.132 </v>
      </c>
      <c r="B28" s="6" t="str">
        <f t="shared" si="1"/>
        <v>I</v>
      </c>
      <c r="C28" s="14">
        <f t="shared" si="2"/>
        <v>27774</v>
      </c>
      <c r="D28" s="17" t="str">
        <f t="shared" si="3"/>
        <v>vis</v>
      </c>
      <c r="E28" s="25">
        <f>VLOOKUP(C28,Active!C$21:E$973,3,FALSE)</f>
        <v>-92.992225581538847</v>
      </c>
      <c r="F28" s="6" t="s">
        <v>44</v>
      </c>
      <c r="G28" s="17" t="str">
        <f t="shared" si="4"/>
        <v>27774.0</v>
      </c>
      <c r="H28" s="14">
        <f t="shared" si="5"/>
        <v>-93</v>
      </c>
      <c r="I28" s="26" t="s">
        <v>69</v>
      </c>
      <c r="J28" s="27" t="s">
        <v>70</v>
      </c>
      <c r="K28" s="26">
        <v>-93</v>
      </c>
      <c r="L28" s="26" t="s">
        <v>71</v>
      </c>
      <c r="M28" s="27" t="s">
        <v>72</v>
      </c>
      <c r="N28" s="27"/>
      <c r="O28" s="28" t="s">
        <v>73</v>
      </c>
      <c r="P28" s="28" t="s">
        <v>74</v>
      </c>
    </row>
    <row r="29" spans="1:16" ht="12.75" customHeight="1" thickBot="1">
      <c r="A29" s="14" t="str">
        <f t="shared" si="0"/>
        <v> AAAN 11.5.38 </v>
      </c>
      <c r="B29" s="6" t="str">
        <f t="shared" si="1"/>
        <v>I</v>
      </c>
      <c r="C29" s="14">
        <f t="shared" si="2"/>
        <v>28545.23</v>
      </c>
      <c r="D29" s="17" t="str">
        <f t="shared" si="3"/>
        <v>vis</v>
      </c>
      <c r="E29" s="25">
        <f>VLOOKUP(C29,Active!C$21:E$973,3,FALSE)</f>
        <v>-75.99714409117756</v>
      </c>
      <c r="F29" s="6" t="s">
        <v>44</v>
      </c>
      <c r="G29" s="17" t="str">
        <f t="shared" si="4"/>
        <v>28545.23</v>
      </c>
      <c r="H29" s="14">
        <f t="shared" si="5"/>
        <v>-76</v>
      </c>
      <c r="I29" s="26" t="s">
        <v>75</v>
      </c>
      <c r="J29" s="27" t="s">
        <v>76</v>
      </c>
      <c r="K29" s="26">
        <v>-76</v>
      </c>
      <c r="L29" s="26" t="s">
        <v>77</v>
      </c>
      <c r="M29" s="27" t="s">
        <v>50</v>
      </c>
      <c r="N29" s="27"/>
      <c r="O29" s="28" t="s">
        <v>78</v>
      </c>
      <c r="P29" s="28" t="s">
        <v>79</v>
      </c>
    </row>
    <row r="30" spans="1:16" ht="12.75" customHeight="1" thickBot="1">
      <c r="A30" s="14" t="str">
        <f t="shared" si="0"/>
        <v> AAAN 11.5.38 </v>
      </c>
      <c r="B30" s="6" t="str">
        <f t="shared" si="1"/>
        <v>I</v>
      </c>
      <c r="C30" s="14">
        <f t="shared" si="2"/>
        <v>28635.61</v>
      </c>
      <c r="D30" s="17" t="str">
        <f t="shared" si="3"/>
        <v>vis</v>
      </c>
      <c r="E30" s="25">
        <f>VLOOKUP(C30,Active!C$21:E$973,3,FALSE)</f>
        <v>-74.005500268843264</v>
      </c>
      <c r="F30" s="6" t="s">
        <v>44</v>
      </c>
      <c r="G30" s="17" t="str">
        <f t="shared" si="4"/>
        <v>28635.61</v>
      </c>
      <c r="H30" s="14">
        <f t="shared" si="5"/>
        <v>-74</v>
      </c>
      <c r="I30" s="26" t="s">
        <v>80</v>
      </c>
      <c r="J30" s="27" t="s">
        <v>81</v>
      </c>
      <c r="K30" s="26">
        <v>-74</v>
      </c>
      <c r="L30" s="26" t="s">
        <v>82</v>
      </c>
      <c r="M30" s="27" t="s">
        <v>50</v>
      </c>
      <c r="N30" s="27"/>
      <c r="O30" s="28" t="s">
        <v>78</v>
      </c>
      <c r="P30" s="28" t="s">
        <v>79</v>
      </c>
    </row>
    <row r="31" spans="1:16" ht="12.75" customHeight="1" thickBot="1">
      <c r="A31" s="14" t="str">
        <f t="shared" si="0"/>
        <v> PZ 7.266 </v>
      </c>
      <c r="B31" s="6" t="str">
        <f t="shared" si="1"/>
        <v>I</v>
      </c>
      <c r="C31" s="14">
        <f t="shared" si="2"/>
        <v>28726.5</v>
      </c>
      <c r="D31" s="17" t="str">
        <f t="shared" si="3"/>
        <v>vis</v>
      </c>
      <c r="E31" s="25">
        <f>VLOOKUP(C31,Active!C$21:E$973,3,FALSE)</f>
        <v>-72.002617916420604</v>
      </c>
      <c r="F31" s="6" t="s">
        <v>44</v>
      </c>
      <c r="G31" s="17" t="str">
        <f t="shared" si="4"/>
        <v>28726.5</v>
      </c>
      <c r="H31" s="14">
        <f t="shared" si="5"/>
        <v>-72</v>
      </c>
      <c r="I31" s="26" t="s">
        <v>83</v>
      </c>
      <c r="J31" s="27" t="s">
        <v>84</v>
      </c>
      <c r="K31" s="26">
        <v>-72</v>
      </c>
      <c r="L31" s="26" t="s">
        <v>49</v>
      </c>
      <c r="M31" s="27" t="s">
        <v>50</v>
      </c>
      <c r="N31" s="27"/>
      <c r="O31" s="28" t="s">
        <v>51</v>
      </c>
      <c r="P31" s="28" t="s">
        <v>52</v>
      </c>
    </row>
    <row r="32" spans="1:16" ht="12.75" customHeight="1" thickBot="1">
      <c r="A32" s="14" t="str">
        <f t="shared" si="0"/>
        <v> PZ 7.266 </v>
      </c>
      <c r="B32" s="6" t="str">
        <f t="shared" si="1"/>
        <v>I</v>
      </c>
      <c r="C32" s="14">
        <f t="shared" si="2"/>
        <v>28771.599999999999</v>
      </c>
      <c r="D32" s="17" t="str">
        <f t="shared" si="3"/>
        <v>vis</v>
      </c>
      <c r="E32" s="25">
        <f>VLOOKUP(C32,Active!C$21:E$973,3,FALSE)</f>
        <v>-71.008779275269106</v>
      </c>
      <c r="F32" s="6" t="s">
        <v>44</v>
      </c>
      <c r="G32" s="17" t="str">
        <f t="shared" si="4"/>
        <v>28771.6</v>
      </c>
      <c r="H32" s="14">
        <f t="shared" si="5"/>
        <v>-71</v>
      </c>
      <c r="I32" s="26" t="s">
        <v>85</v>
      </c>
      <c r="J32" s="27" t="s">
        <v>86</v>
      </c>
      <c r="K32" s="26">
        <v>-71</v>
      </c>
      <c r="L32" s="26" t="s">
        <v>87</v>
      </c>
      <c r="M32" s="27" t="s">
        <v>50</v>
      </c>
      <c r="N32" s="27"/>
      <c r="O32" s="28" t="s">
        <v>51</v>
      </c>
      <c r="P32" s="28" t="s">
        <v>52</v>
      </c>
    </row>
    <row r="33" spans="1:16" ht="12.75" customHeight="1" thickBot="1">
      <c r="A33" s="14" t="str">
        <f t="shared" si="0"/>
        <v> AAAN 11.5.38 </v>
      </c>
      <c r="B33" s="6" t="str">
        <f t="shared" si="1"/>
        <v>I</v>
      </c>
      <c r="C33" s="14">
        <f t="shared" si="2"/>
        <v>28817.4</v>
      </c>
      <c r="D33" s="17" t="str">
        <f t="shared" si="3"/>
        <v>vis</v>
      </c>
      <c r="E33" s="25">
        <f>VLOOKUP(C33,Active!C$21:E$973,3,FALSE)</f>
        <v>-69.999515200662827</v>
      </c>
      <c r="F33" s="6" t="s">
        <v>44</v>
      </c>
      <c r="G33" s="17" t="str">
        <f t="shared" si="4"/>
        <v>28817.40</v>
      </c>
      <c r="H33" s="14">
        <f t="shared" si="5"/>
        <v>-70</v>
      </c>
      <c r="I33" s="26" t="s">
        <v>88</v>
      </c>
      <c r="J33" s="27" t="s">
        <v>89</v>
      </c>
      <c r="K33" s="26">
        <v>-70</v>
      </c>
      <c r="L33" s="26" t="s">
        <v>90</v>
      </c>
      <c r="M33" s="27" t="s">
        <v>50</v>
      </c>
      <c r="N33" s="27"/>
      <c r="O33" s="28" t="s">
        <v>78</v>
      </c>
      <c r="P33" s="28" t="s">
        <v>79</v>
      </c>
    </row>
    <row r="34" spans="1:16" ht="12.75" customHeight="1" thickBot="1">
      <c r="A34" s="14" t="str">
        <f t="shared" si="0"/>
        <v> PZ 7.266 </v>
      </c>
      <c r="B34" s="6" t="str">
        <f t="shared" si="1"/>
        <v>I</v>
      </c>
      <c r="C34" s="14">
        <f t="shared" si="2"/>
        <v>29135</v>
      </c>
      <c r="D34" s="17" t="str">
        <f t="shared" si="3"/>
        <v>vis</v>
      </c>
      <c r="E34" s="25">
        <f>VLOOKUP(C34,Active!C$21:E$973,3,FALSE)</f>
        <v>-63.000775678939448</v>
      </c>
      <c r="F34" s="6" t="s">
        <v>44</v>
      </c>
      <c r="G34" s="17" t="str">
        <f t="shared" si="4"/>
        <v>29135.0</v>
      </c>
      <c r="H34" s="14">
        <f t="shared" si="5"/>
        <v>-63</v>
      </c>
      <c r="I34" s="26" t="s">
        <v>91</v>
      </c>
      <c r="J34" s="27" t="s">
        <v>92</v>
      </c>
      <c r="K34" s="26">
        <v>-63</v>
      </c>
      <c r="L34" s="26" t="s">
        <v>93</v>
      </c>
      <c r="M34" s="27" t="s">
        <v>50</v>
      </c>
      <c r="N34" s="27"/>
      <c r="O34" s="28" t="s">
        <v>51</v>
      </c>
      <c r="P34" s="28" t="s">
        <v>52</v>
      </c>
    </row>
    <row r="35" spans="1:16" ht="12.75" customHeight="1" thickBot="1">
      <c r="A35" s="14" t="str">
        <f t="shared" si="0"/>
        <v> AAAN 11.5.38 </v>
      </c>
      <c r="B35" s="6" t="str">
        <f t="shared" si="1"/>
        <v>I</v>
      </c>
      <c r="C35" s="14">
        <f t="shared" si="2"/>
        <v>29135.45</v>
      </c>
      <c r="D35" s="17" t="str">
        <f t="shared" si="3"/>
        <v>vis</v>
      </c>
      <c r="E35" s="25">
        <f>VLOOKUP(C35,Active!C$21:E$973,3,FALSE)</f>
        <v>-62.990859328861418</v>
      </c>
      <c r="F35" s="6" t="s">
        <v>44</v>
      </c>
      <c r="G35" s="17" t="str">
        <f t="shared" si="4"/>
        <v>29135.45</v>
      </c>
      <c r="H35" s="14">
        <f t="shared" si="5"/>
        <v>-63</v>
      </c>
      <c r="I35" s="26" t="s">
        <v>94</v>
      </c>
      <c r="J35" s="27" t="s">
        <v>95</v>
      </c>
      <c r="K35" s="26">
        <v>-63</v>
      </c>
      <c r="L35" s="26" t="s">
        <v>96</v>
      </c>
      <c r="M35" s="27" t="s">
        <v>50</v>
      </c>
      <c r="N35" s="27"/>
      <c r="O35" s="28" t="s">
        <v>78</v>
      </c>
      <c r="P35" s="28" t="s">
        <v>79</v>
      </c>
    </row>
    <row r="36" spans="1:16" ht="12.75" customHeight="1" thickBot="1">
      <c r="A36" s="14" t="str">
        <f t="shared" si="0"/>
        <v> PZ 7.266 </v>
      </c>
      <c r="B36" s="6" t="str">
        <f t="shared" si="1"/>
        <v>I</v>
      </c>
      <c r="C36" s="14">
        <f t="shared" si="2"/>
        <v>29498</v>
      </c>
      <c r="D36" s="17" t="str">
        <f t="shared" si="3"/>
        <v>vis</v>
      </c>
      <c r="E36" s="25">
        <f>VLOOKUP(C36,Active!C$21:E$973,3,FALSE)</f>
        <v>-55.001586616012496</v>
      </c>
      <c r="F36" s="6" t="s">
        <v>44</v>
      </c>
      <c r="G36" s="17" t="str">
        <f t="shared" si="4"/>
        <v>29498.0</v>
      </c>
      <c r="H36" s="14">
        <f t="shared" si="5"/>
        <v>-55</v>
      </c>
      <c r="I36" s="26" t="s">
        <v>97</v>
      </c>
      <c r="J36" s="27" t="s">
        <v>98</v>
      </c>
      <c r="K36" s="26">
        <v>-55</v>
      </c>
      <c r="L36" s="26" t="s">
        <v>49</v>
      </c>
      <c r="M36" s="27" t="s">
        <v>50</v>
      </c>
      <c r="N36" s="27"/>
      <c r="O36" s="28" t="s">
        <v>51</v>
      </c>
      <c r="P36" s="28" t="s">
        <v>52</v>
      </c>
    </row>
    <row r="37" spans="1:16" ht="12.75" customHeight="1" thickBot="1">
      <c r="A37" s="14" t="str">
        <f t="shared" si="0"/>
        <v> AAAN 11.5.38 </v>
      </c>
      <c r="B37" s="6" t="str">
        <f t="shared" si="1"/>
        <v>I</v>
      </c>
      <c r="C37" s="14">
        <f t="shared" si="2"/>
        <v>30313.3</v>
      </c>
      <c r="D37" s="17" t="str">
        <f t="shared" si="3"/>
        <v>vis</v>
      </c>
      <c r="E37" s="25">
        <f>VLOOKUP(C37,Active!C$21:E$973,3,FALSE)</f>
        <v>-37.035363908011561</v>
      </c>
      <c r="F37" s="6" t="s">
        <v>44</v>
      </c>
      <c r="G37" s="17" t="str">
        <f t="shared" si="4"/>
        <v>30313.30</v>
      </c>
      <c r="H37" s="14">
        <f t="shared" si="5"/>
        <v>-37</v>
      </c>
      <c r="I37" s="26" t="s">
        <v>99</v>
      </c>
      <c r="J37" s="27" t="s">
        <v>100</v>
      </c>
      <c r="K37" s="26">
        <v>-37</v>
      </c>
      <c r="L37" s="26" t="s">
        <v>101</v>
      </c>
      <c r="M37" s="27" t="s">
        <v>50</v>
      </c>
      <c r="N37" s="27"/>
      <c r="O37" s="28" t="s">
        <v>78</v>
      </c>
      <c r="P37" s="28" t="s">
        <v>79</v>
      </c>
    </row>
    <row r="38" spans="1:16" ht="12.75" customHeight="1" thickBot="1">
      <c r="A38" s="14" t="str">
        <f t="shared" si="0"/>
        <v> PZ 7.266 </v>
      </c>
      <c r="B38" s="6" t="str">
        <f t="shared" si="1"/>
        <v>I</v>
      </c>
      <c r="C38" s="14">
        <f t="shared" si="2"/>
        <v>30587</v>
      </c>
      <c r="D38" s="17" t="str">
        <f t="shared" si="3"/>
        <v>vis</v>
      </c>
      <c r="E38" s="25">
        <f>VLOOKUP(C38,Active!C$21:E$973,3,FALSE)</f>
        <v>-31.004019427231633</v>
      </c>
      <c r="F38" s="6" t="s">
        <v>44</v>
      </c>
      <c r="G38" s="17" t="str">
        <f t="shared" si="4"/>
        <v>30587.0</v>
      </c>
      <c r="H38" s="14">
        <f t="shared" si="5"/>
        <v>-31</v>
      </c>
      <c r="I38" s="26" t="s">
        <v>102</v>
      </c>
      <c r="J38" s="27" t="s">
        <v>103</v>
      </c>
      <c r="K38" s="26">
        <v>-31</v>
      </c>
      <c r="L38" s="26" t="s">
        <v>104</v>
      </c>
      <c r="M38" s="27" t="s">
        <v>50</v>
      </c>
      <c r="N38" s="27"/>
      <c r="O38" s="28" t="s">
        <v>51</v>
      </c>
      <c r="P38" s="28" t="s">
        <v>52</v>
      </c>
    </row>
    <row r="39" spans="1:16" ht="12.75" customHeight="1" thickBot="1">
      <c r="A39" s="14" t="str">
        <f t="shared" si="0"/>
        <v> AJ 64.263 </v>
      </c>
      <c r="B39" s="6" t="str">
        <f t="shared" si="1"/>
        <v>I</v>
      </c>
      <c r="C39" s="14">
        <f t="shared" si="2"/>
        <v>30587.200000000001</v>
      </c>
      <c r="D39" s="17" t="str">
        <f t="shared" si="3"/>
        <v>vis</v>
      </c>
      <c r="E39" s="25">
        <f>VLOOKUP(C39,Active!C$21:E$973,3,FALSE)</f>
        <v>-30.99961216053028</v>
      </c>
      <c r="F39" s="6" t="s">
        <v>44</v>
      </c>
      <c r="G39" s="17" t="str">
        <f t="shared" si="4"/>
        <v>30587.2</v>
      </c>
      <c r="H39" s="14">
        <f t="shared" si="5"/>
        <v>-31</v>
      </c>
      <c r="I39" s="26" t="s">
        <v>105</v>
      </c>
      <c r="J39" s="27" t="s">
        <v>106</v>
      </c>
      <c r="K39" s="26">
        <v>-31</v>
      </c>
      <c r="L39" s="26" t="s">
        <v>57</v>
      </c>
      <c r="M39" s="27" t="s">
        <v>50</v>
      </c>
      <c r="N39" s="27"/>
      <c r="O39" s="28" t="s">
        <v>107</v>
      </c>
      <c r="P39" s="28" t="s">
        <v>108</v>
      </c>
    </row>
    <row r="40" spans="1:16" ht="12.75" customHeight="1" thickBot="1">
      <c r="A40" s="14" t="str">
        <f t="shared" si="0"/>
        <v>BAVM 157 </v>
      </c>
      <c r="B40" s="6" t="str">
        <f t="shared" si="1"/>
        <v>I</v>
      </c>
      <c r="C40" s="14">
        <f t="shared" si="2"/>
        <v>52460.478000000003</v>
      </c>
      <c r="D40" s="17" t="str">
        <f t="shared" si="3"/>
        <v>vis</v>
      </c>
      <c r="E40" s="25">
        <f>VLOOKUP(C40,Active!C$21:E$973,3,FALSE)</f>
        <v>451.00723673192363</v>
      </c>
      <c r="F40" s="6" t="s">
        <v>44</v>
      </c>
      <c r="G40" s="17" t="str">
        <f t="shared" si="4"/>
        <v>52460.478</v>
      </c>
      <c r="H40" s="14">
        <f t="shared" si="5"/>
        <v>451</v>
      </c>
      <c r="I40" s="26" t="s">
        <v>139</v>
      </c>
      <c r="J40" s="27" t="s">
        <v>140</v>
      </c>
      <c r="K40" s="26">
        <v>451</v>
      </c>
      <c r="L40" s="26" t="s">
        <v>141</v>
      </c>
      <c r="M40" s="27" t="s">
        <v>72</v>
      </c>
      <c r="N40" s="27"/>
      <c r="O40" s="28" t="s">
        <v>142</v>
      </c>
      <c r="P40" s="29" t="s">
        <v>143</v>
      </c>
    </row>
    <row r="41" spans="1:16" ht="12.75" customHeight="1" thickBot="1">
      <c r="A41" s="14" t="str">
        <f t="shared" si="0"/>
        <v>BAVM 157 </v>
      </c>
      <c r="B41" s="6" t="str">
        <f t="shared" si="1"/>
        <v>I</v>
      </c>
      <c r="C41" s="14">
        <f t="shared" si="2"/>
        <v>52460.5</v>
      </c>
      <c r="D41" s="17" t="str">
        <f t="shared" si="3"/>
        <v>vis</v>
      </c>
      <c r="E41" s="25">
        <f>VLOOKUP(C41,Active!C$21:E$973,3,FALSE)</f>
        <v>451.0077215312607</v>
      </c>
      <c r="F41" s="6" t="s">
        <v>44</v>
      </c>
      <c r="G41" s="17" t="str">
        <f t="shared" si="4"/>
        <v>52460.5</v>
      </c>
      <c r="H41" s="14">
        <f t="shared" si="5"/>
        <v>451</v>
      </c>
      <c r="I41" s="26" t="s">
        <v>144</v>
      </c>
      <c r="J41" s="27" t="s">
        <v>145</v>
      </c>
      <c r="K41" s="26">
        <v>451</v>
      </c>
      <c r="L41" s="26" t="s">
        <v>71</v>
      </c>
      <c r="M41" s="27" t="s">
        <v>72</v>
      </c>
      <c r="N41" s="27"/>
      <c r="O41" s="28" t="s">
        <v>142</v>
      </c>
      <c r="P41" s="29" t="s">
        <v>143</v>
      </c>
    </row>
    <row r="42" spans="1:16" ht="12.75" customHeight="1" thickBot="1">
      <c r="A42" s="14" t="str">
        <f t="shared" si="0"/>
        <v>BAVM 192 </v>
      </c>
      <c r="B42" s="6" t="str">
        <f t="shared" si="1"/>
        <v>I</v>
      </c>
      <c r="C42" s="14">
        <f t="shared" si="2"/>
        <v>53594.9</v>
      </c>
      <c r="D42" s="17" t="str">
        <f t="shared" si="3"/>
        <v>vis</v>
      </c>
      <c r="E42" s="25">
        <f>VLOOKUP(C42,Active!C$21:E$973,3,FALSE)</f>
        <v>476.00573826124514</v>
      </c>
      <c r="F42" s="6" t="s">
        <v>44</v>
      </c>
      <c r="G42" s="17" t="str">
        <f t="shared" si="4"/>
        <v>53594.900</v>
      </c>
      <c r="H42" s="14">
        <f t="shared" si="5"/>
        <v>476</v>
      </c>
      <c r="I42" s="26" t="s">
        <v>146</v>
      </c>
      <c r="J42" s="27" t="s">
        <v>147</v>
      </c>
      <c r="K42" s="26">
        <v>476</v>
      </c>
      <c r="L42" s="26" t="s">
        <v>148</v>
      </c>
      <c r="M42" s="27" t="s">
        <v>72</v>
      </c>
      <c r="N42" s="27"/>
      <c r="O42" s="28" t="s">
        <v>142</v>
      </c>
      <c r="P42" s="29" t="s">
        <v>149</v>
      </c>
    </row>
    <row r="43" spans="1:16">
      <c r="B43" s="6"/>
      <c r="F43" s="6"/>
    </row>
    <row r="44" spans="1:16">
      <c r="B44" s="6"/>
      <c r="F44" s="6"/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</sheetData>
  <phoneticPr fontId="7" type="noConversion"/>
  <hyperlinks>
    <hyperlink ref="P21" r:id="rId1" display="http://www.bav-astro.de/sfs/BAVM_link.php?BAVMnr=39"/>
    <hyperlink ref="P40" r:id="rId2" display="http://www.bav-astro.de/sfs/BAVM_link.php?BAVMnr=157"/>
    <hyperlink ref="P41" r:id="rId3" display="http://www.bav-astro.de/sfs/BAVM_link.php?BAVMnr=157"/>
    <hyperlink ref="P42" r:id="rId4" display="http://www.bav-astro.de/sfs/BAVM_link.php?BAVMnr=1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2024-01-31T02:52:20Z</dcterms:modified>
</cp:coreProperties>
</file>