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A50B0CB-A942-4ACD-A1D7-5D2BFB954C34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A27" i="1" l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C27" i="1"/>
  <c r="E27" i="1"/>
  <c r="F27" i="1"/>
  <c r="G27" i="1"/>
  <c r="Q21" i="1"/>
  <c r="Q22" i="1"/>
  <c r="Q23" i="1"/>
  <c r="Q24" i="1"/>
  <c r="Q25" i="1"/>
  <c r="Q26" i="1"/>
  <c r="F12" i="1"/>
  <c r="C17" i="1"/>
  <c r="Q27" i="1"/>
  <c r="C13" i="1"/>
  <c r="C14" i="1"/>
  <c r="D13" i="1"/>
  <c r="D14" i="1"/>
  <c r="S22" i="1"/>
  <c r="I22" i="1"/>
  <c r="I21" i="1"/>
  <c r="R21" i="1"/>
  <c r="R25" i="1"/>
  <c r="I25" i="1"/>
  <c r="I27" i="1"/>
  <c r="R27" i="1"/>
  <c r="I26" i="1"/>
  <c r="S26" i="1"/>
  <c r="I24" i="1"/>
  <c r="S24" i="1"/>
  <c r="R23" i="1"/>
  <c r="I23" i="1"/>
  <c r="R19" i="1"/>
  <c r="E18" i="1"/>
  <c r="S19" i="1"/>
  <c r="E19" i="1"/>
  <c r="D12" i="1"/>
  <c r="D11" i="1"/>
  <c r="C12" i="1"/>
  <c r="C16" i="1" l="1"/>
  <c r="D18" i="1" s="1"/>
  <c r="P22" i="1"/>
  <c r="P26" i="1"/>
  <c r="P23" i="1"/>
  <c r="D15" i="1"/>
  <c r="C19" i="1" s="1"/>
  <c r="P24" i="1"/>
  <c r="P21" i="1"/>
  <c r="P27" i="1"/>
  <c r="P25" i="1"/>
  <c r="D16" i="1"/>
  <c r="D19" i="1" s="1"/>
  <c r="F13" i="1"/>
  <c r="C11" i="1"/>
  <c r="O23" i="1" l="1"/>
  <c r="O24" i="1"/>
  <c r="O26" i="1"/>
  <c r="C15" i="1"/>
  <c r="O25" i="1"/>
  <c r="O22" i="1"/>
  <c r="O21" i="1"/>
  <c r="O27" i="1"/>
  <c r="C18" i="1" l="1"/>
  <c r="F14" i="1"/>
  <c r="F15" i="1" s="1"/>
</calcChain>
</file>

<file path=xl/sharedStrings.xml><?xml version="1.0" encoding="utf-8"?>
<sst xmlns="http://schemas.openxmlformats.org/spreadsheetml/2006/main" count="69" uniqueCount="52">
  <si>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</si>
  <si>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</si>
  <si>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</si>
  <si>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</si>
  <si>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</si>
  <si>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</si>
  <si>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</si>
  <si>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</si>
  <si>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</si>
  <si>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</si>
  <si>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</si>
  <si>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</si>
  <si>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</si>
  <si>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</si>
  <si>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</si>
  <si>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</si>
  <si>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</si>
  <si>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</si>
  <si>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</si>
  <si>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</si>
  <si>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</si>
  <si>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</si>
  <si>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</si>
  <si>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</si>
  <si>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</si>
  <si>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</si>
  <si>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</si>
  <si>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</si>
  <si>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</si>
  <si>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</si>
  <si>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</si>
  <si>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</si>
  <si>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</si>
  <si>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</si>
  <si>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</si>
  <si>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</si>
  <si>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</si>
  <si>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</si>
  <si>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</si>
  <si>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V0380 Cyg / GSC 2501.8251</t>
  </si>
  <si>
    <t>EA/DM</t>
  </si>
  <si>
    <t>Kreiner</t>
  </si>
  <si>
    <t> ASS 30.167 </t>
  </si>
  <si>
    <t>I</t>
  </si>
  <si>
    <t>vis</t>
  </si>
  <si>
    <t>II</t>
  </si>
  <si>
    <t> AA 18.10 </t>
  </si>
  <si>
    <t>pg</t>
  </si>
  <si>
    <t>PE</t>
  </si>
  <si>
    <t>CCD</t>
  </si>
  <si>
    <r>
      <t xml:space="preserve">ref:  Hoffmeister et al. 1985, </t>
    </r>
    <r>
      <rPr>
        <i/>
        <sz val="10"/>
        <color indexed="10"/>
        <rFont val="Arial"/>
        <family val="2"/>
      </rPr>
      <t>Variable Stars</t>
    </r>
    <r>
      <rPr>
        <sz val="10"/>
        <color indexed="10"/>
        <rFont val="Arial"/>
        <family val="2"/>
      </rPr>
      <t xml:space="preserve"> (Springer)</t>
    </r>
  </si>
  <si>
    <t>Apsidal 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</si>
</sst>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i/>
      <sz val="10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0" xfId="0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V0380 Cyg - O-C Diagr.</a:t>
            </a:r>
          </a:p>
        </c:rich>
      </c:tx>
      <c:layout>
        <c:manualLayout>
          <c:xMode val="edge"/>
          <c:yMode val="edge"/>
          <c:x val="0.356451612903225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096774193548383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-2327</c:v>
                </c:pt>
                <c:pt idx="1">
                  <c:v>-2326.5</c:v>
                </c:pt>
                <c:pt idx="2">
                  <c:v>-1145</c:v>
                </c:pt>
                <c:pt idx="3">
                  <c:v>-1144.5</c:v>
                </c:pt>
                <c:pt idx="4">
                  <c:v>-905</c:v>
                </c:pt>
                <c:pt idx="5">
                  <c:v>-904.5</c:v>
                </c:pt>
                <c:pt idx="6">
                  <c:v>0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C1-486A-9347-08819C71924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-2327</c:v>
                </c:pt>
                <c:pt idx="1">
                  <c:v>-2326.5</c:v>
                </c:pt>
                <c:pt idx="2">
                  <c:v>-1145</c:v>
                </c:pt>
                <c:pt idx="3">
                  <c:v>-1144.5</c:v>
                </c:pt>
                <c:pt idx="4">
                  <c:v>-905</c:v>
                </c:pt>
                <c:pt idx="5">
                  <c:v>-904.5</c:v>
                </c:pt>
                <c:pt idx="6">
                  <c:v>0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0">
                  <c:v>9.3400000005203765E-3</c:v>
                </c:pt>
                <c:pt idx="1">
                  <c:v>-0.82252000000153203</c:v>
                </c:pt>
                <c:pt idx="2">
                  <c:v>-3.7000000011175871E-3</c:v>
                </c:pt>
                <c:pt idx="3">
                  <c:v>-1.0175600000002305</c:v>
                </c:pt>
                <c:pt idx="4">
                  <c:v>-7.0000000050640665E-3</c:v>
                </c:pt>
                <c:pt idx="5">
                  <c:v>-1.1418600000033621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C1-486A-9347-08819C71924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-2327</c:v>
                </c:pt>
                <c:pt idx="1">
                  <c:v>-2326.5</c:v>
                </c:pt>
                <c:pt idx="2">
                  <c:v>-1145</c:v>
                </c:pt>
                <c:pt idx="3">
                  <c:v>-1144.5</c:v>
                </c:pt>
                <c:pt idx="4">
                  <c:v>-905</c:v>
                </c:pt>
                <c:pt idx="5">
                  <c:v>-904.5</c:v>
                </c:pt>
                <c:pt idx="6">
                  <c:v>0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C1-486A-9347-08819C71924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-2327</c:v>
                </c:pt>
                <c:pt idx="1">
                  <c:v>-2326.5</c:v>
                </c:pt>
                <c:pt idx="2">
                  <c:v>-1145</c:v>
                </c:pt>
                <c:pt idx="3">
                  <c:v>-1144.5</c:v>
                </c:pt>
                <c:pt idx="4">
                  <c:v>-905</c:v>
                </c:pt>
                <c:pt idx="5">
                  <c:v>-904.5</c:v>
                </c:pt>
                <c:pt idx="6">
                  <c:v>0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C1-486A-9347-08819C71924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-2327</c:v>
                </c:pt>
                <c:pt idx="1">
                  <c:v>-2326.5</c:v>
                </c:pt>
                <c:pt idx="2">
                  <c:v>-1145</c:v>
                </c:pt>
                <c:pt idx="3">
                  <c:v>-1144.5</c:v>
                </c:pt>
                <c:pt idx="4">
                  <c:v>-905</c:v>
                </c:pt>
                <c:pt idx="5">
                  <c:v>-904.5</c:v>
                </c:pt>
                <c:pt idx="6">
                  <c:v>0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C1-486A-9347-08819C71924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-2327</c:v>
                </c:pt>
                <c:pt idx="1">
                  <c:v>-2326.5</c:v>
                </c:pt>
                <c:pt idx="2">
                  <c:v>-1145</c:v>
                </c:pt>
                <c:pt idx="3">
                  <c:v>-1144.5</c:v>
                </c:pt>
                <c:pt idx="4">
                  <c:v>-905</c:v>
                </c:pt>
                <c:pt idx="5">
                  <c:v>-904.5</c:v>
                </c:pt>
                <c:pt idx="6">
                  <c:v>0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C1-486A-9347-08819C71924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-2327</c:v>
                </c:pt>
                <c:pt idx="1">
                  <c:v>-2326.5</c:v>
                </c:pt>
                <c:pt idx="2">
                  <c:v>-1145</c:v>
                </c:pt>
                <c:pt idx="3">
                  <c:v>-1144.5</c:v>
                </c:pt>
                <c:pt idx="4">
                  <c:v>-905</c:v>
                </c:pt>
                <c:pt idx="5">
                  <c:v>-904.5</c:v>
                </c:pt>
                <c:pt idx="6">
                  <c:v>0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C1-486A-9347-08819C71924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-2327</c:v>
                </c:pt>
                <c:pt idx="1">
                  <c:v>-2326.5</c:v>
                </c:pt>
                <c:pt idx="2">
                  <c:v>-1145</c:v>
                </c:pt>
                <c:pt idx="3">
                  <c:v>-1144.5</c:v>
                </c:pt>
                <c:pt idx="4">
                  <c:v>-905</c:v>
                </c:pt>
                <c:pt idx="5">
                  <c:v>-904.5</c:v>
                </c:pt>
                <c:pt idx="6">
                  <c:v>0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5.3198254577057173E-3</c:v>
                </c:pt>
                <c:pt idx="1">
                  <c:v>5.3175298481096429E-3</c:v>
                </c:pt>
                <c:pt idx="2">
                  <c:v>-1.0699562741378447E-4</c:v>
                </c:pt>
                <c:pt idx="3">
                  <c:v>-1.09291237009858E-4</c:v>
                </c:pt>
                <c:pt idx="4">
                  <c:v>-1.2088882335294189E-3</c:v>
                </c:pt>
                <c:pt idx="5">
                  <c:v>-1.2111838431254933E-3</c:v>
                </c:pt>
                <c:pt idx="6">
                  <c:v>-5.3639416024237919E-3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C1-486A-9347-08819C71924F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-2327</c:v>
                </c:pt>
                <c:pt idx="1">
                  <c:v>-2326.5</c:v>
                </c:pt>
                <c:pt idx="2">
                  <c:v>-1145</c:v>
                </c:pt>
                <c:pt idx="3">
                  <c:v>-1144.5</c:v>
                </c:pt>
                <c:pt idx="4">
                  <c:v>-905</c:v>
                </c:pt>
                <c:pt idx="5">
                  <c:v>-904.5</c:v>
                </c:pt>
                <c:pt idx="6">
                  <c:v>0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-0.81550656831909096</c:v>
                </c:pt>
                <c:pt idx="1">
                  <c:v>-0.81560931640871825</c:v>
                </c:pt>
                <c:pt idx="2">
                  <c:v>-1.0584030521980241</c:v>
                </c:pt>
                <c:pt idx="3">
                  <c:v>-1.0585058002876515</c:v>
                </c:pt>
                <c:pt idx="4">
                  <c:v>-1.1077221352191273</c:v>
                </c:pt>
                <c:pt idx="5">
                  <c:v>-1.1078248833087545</c:v>
                </c:pt>
                <c:pt idx="6">
                  <c:v>-1.2936961774445372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C1-486A-9347-08819C719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690392"/>
        <c:axId val="1"/>
      </c:scatterChart>
      <c:valAx>
        <c:axId val="700690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0690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70967741935483"/>
          <c:y val="0.92097264437689974"/>
          <c:w val="0.8032258064516129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V0380 Cyg - Prim. O-C Diagr.</a:t>
            </a:r>
          </a:p>
        </c:rich>
      </c:tx>
      <c:layout>
        <c:manualLayout>
          <c:xMode val="edge"/>
          <c:yMode val="edge"/>
          <c:x val="0.2702704885382050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299453753830881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-2327</c:v>
                </c:pt>
                <c:pt idx="1">
                  <c:v>-2326.5</c:v>
                </c:pt>
                <c:pt idx="2">
                  <c:v>-1145</c:v>
                </c:pt>
                <c:pt idx="3">
                  <c:v>-1144.5</c:v>
                </c:pt>
                <c:pt idx="4">
                  <c:v>-905</c:v>
                </c:pt>
                <c:pt idx="5">
                  <c:v>-904.5</c:v>
                </c:pt>
                <c:pt idx="6">
                  <c:v>0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9.3400000005203765E-3</c:v>
                </c:pt>
                <c:pt idx="2">
                  <c:v>-3.7000000011175871E-3</c:v>
                </c:pt>
                <c:pt idx="4">
                  <c:v>-7.0000000050640665E-3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21-40A6-B8D4-AACD387C8DBE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-2327</c:v>
                </c:pt>
                <c:pt idx="1">
                  <c:v>-2326.5</c:v>
                </c:pt>
                <c:pt idx="2">
                  <c:v>-1145</c:v>
                </c:pt>
                <c:pt idx="3">
                  <c:v>-1144.5</c:v>
                </c:pt>
                <c:pt idx="4">
                  <c:v>-905</c:v>
                </c:pt>
                <c:pt idx="5">
                  <c:v>-904.5</c:v>
                </c:pt>
                <c:pt idx="6">
                  <c:v>0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5.3198254577057173E-3</c:v>
                </c:pt>
                <c:pt idx="1">
                  <c:v>5.3175298481096429E-3</c:v>
                </c:pt>
                <c:pt idx="2">
                  <c:v>-1.0699562741378447E-4</c:v>
                </c:pt>
                <c:pt idx="3">
                  <c:v>-1.09291237009858E-4</c:v>
                </c:pt>
                <c:pt idx="4">
                  <c:v>-1.2088882335294189E-3</c:v>
                </c:pt>
                <c:pt idx="5">
                  <c:v>-1.2111838431254933E-3</c:v>
                </c:pt>
                <c:pt idx="6">
                  <c:v>-5.3639416024237919E-3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21-40A6-B8D4-AACD387C8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799304"/>
        <c:axId val="1"/>
      </c:scatterChart>
      <c:valAx>
        <c:axId val="704799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879625233955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799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748484402027707"/>
          <c:y val="0.92073298764483702"/>
          <c:w val="0.30353452180223839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V0380 Cyg - Sec. O-C Diagr.</a:t>
            </a:r>
          </a:p>
        </c:rich>
      </c:tx>
      <c:layout>
        <c:manualLayout>
          <c:xMode val="edge"/>
          <c:yMode val="edge"/>
          <c:x val="0.2795920509936257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1838320948582"/>
          <c:y val="0.1458966565349544"/>
          <c:w val="0.7795926135927671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-2327</c:v>
                </c:pt>
                <c:pt idx="1">
                  <c:v>-2326.5</c:v>
                </c:pt>
                <c:pt idx="2">
                  <c:v>-1145</c:v>
                </c:pt>
                <c:pt idx="3">
                  <c:v>-1144.5</c:v>
                </c:pt>
                <c:pt idx="4">
                  <c:v>-905</c:v>
                </c:pt>
                <c:pt idx="5">
                  <c:v>-904.5</c:v>
                </c:pt>
                <c:pt idx="6">
                  <c:v>0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1">
                  <c:v>-0.82252000000153203</c:v>
                </c:pt>
                <c:pt idx="3">
                  <c:v>-1.0175600000002305</c:v>
                </c:pt>
                <c:pt idx="5">
                  <c:v>-1.1418600000033621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5F-4E0E-A1DE-1AB8C410318C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-2327</c:v>
                </c:pt>
                <c:pt idx="1">
                  <c:v>-2326.5</c:v>
                </c:pt>
                <c:pt idx="2">
                  <c:v>-1145</c:v>
                </c:pt>
                <c:pt idx="3">
                  <c:v>-1144.5</c:v>
                </c:pt>
                <c:pt idx="4">
                  <c:v>-905</c:v>
                </c:pt>
                <c:pt idx="5">
                  <c:v>-904.5</c:v>
                </c:pt>
                <c:pt idx="6">
                  <c:v>0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-0.81550656831909096</c:v>
                </c:pt>
                <c:pt idx="1">
                  <c:v>-0.81560931640871825</c:v>
                </c:pt>
                <c:pt idx="2">
                  <c:v>-1.0584030521980241</c:v>
                </c:pt>
                <c:pt idx="3">
                  <c:v>-1.0585058002876515</c:v>
                </c:pt>
                <c:pt idx="4">
                  <c:v>-1.1077221352191273</c:v>
                </c:pt>
                <c:pt idx="5">
                  <c:v>-1.1078248833087545</c:v>
                </c:pt>
                <c:pt idx="6">
                  <c:v>-1.2936961774445372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5F-4E0E-A1DE-1AB8C4103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783768"/>
        <c:axId val="1"/>
      </c:scatterChart>
      <c:valAx>
        <c:axId val="728783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4085917831698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783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36738979056189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1066800</xdr:colOff>
      <xdr:row>0</xdr:row>
      <xdr:rowOff>0</xdr:rowOff>
    </xdr:from>
    <xdr:to>
      <xdr:col>18</xdr:col>
      <xdr:colOff>409575</xdr:colOff>
      <xdr:row>18</xdr:row>
      <xdr:rowOff>76200</xdr:rowOff>
    </xdr:to>
    <xdr:graphicFrame macro="">
      <xdr:nvGraphicFramePr>
        <xdr:cNvPr id="1031" name="Chart 2">
          <a:extLst>
            <a:ext uri="{FF2B5EF4-FFF2-40B4-BE49-F238E27FC236}">
              <a16:creationId xmlns:a16="http://schemas.microsoft.com/office/drawing/2014/main" id="{10262E2B-7F58-7AC1-E881-A4A82B731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13</xdr:col>
      <xdr:colOff>228600</xdr:colOff>
      <xdr:row>20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9D89D6-D265-A292-EDB8-1C8068B1F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21</xdr:row>
      <xdr:rowOff>76200</xdr:rowOff>
    </xdr:from>
    <xdr:to>
      <xdr:col>13</xdr:col>
      <xdr:colOff>295274</xdr:colOff>
      <xdr:row>41</xdr:row>
      <xdr:rowOff>66675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A0C3F17F-3B73-F1FE-D5EA-647A02642B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7.57031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  <c r="F1" s="32" t="s">
        <v>51</v>
      </c>
    </row>
    <row r="2" spans="1:6" x14ac:dyDescent="0.2">
      <c r="A2" t="s">
        <v>16</v>
      </c>
      <c r="B2" t="s">
        <v>40</v>
      </c>
      <c r="C2" s="36"/>
      <c r="D2" s="24" t="s">
        <v>50</v>
      </c>
    </row>
    <row r="3" spans="1:6" ht="13.5" thickBot="1" x14ac:dyDescent="0.25"/>
    <row r="4" spans="1:6" ht="14.25" thickTop="1" thickBot="1" x14ac:dyDescent="0.25">
      <c r="A4" s="6" t="s">
        <v>0</v>
      </c>
      <c r="C4" s="37">
        <v>41256.053</v>
      </c>
      <c r="D4" s="38">
        <v>12.425611999999999</v>
      </c>
    </row>
    <row r="5" spans="1:6" ht="13.5" thickTop="1" x14ac:dyDescent="0.2">
      <c r="A5" s="29" t="s">
        <v>31</v>
      </c>
      <c r="B5" s="23"/>
      <c r="C5" s="30">
        <v>-9.5</v>
      </c>
      <c r="D5" s="23" t="s">
        <v>32</v>
      </c>
      <c r="E5" s="23"/>
    </row>
    <row r="6" spans="1:6" x14ac:dyDescent="0.2">
      <c r="A6" s="6" t="s">
        <v>1</v>
      </c>
    </row>
    <row r="7" spans="1:6" x14ac:dyDescent="0.2">
      <c r="A7" t="s">
        <v>2</v>
      </c>
      <c r="C7" s="40">
        <v>52501.825100000002</v>
      </c>
      <c r="D7" s="39" t="s">
        <v>41</v>
      </c>
    </row>
    <row r="8" spans="1:6" x14ac:dyDescent="0.2">
      <c r="A8" t="s">
        <v>3</v>
      </c>
      <c r="C8" s="40">
        <v>12.42572</v>
      </c>
      <c r="D8" s="39" t="s">
        <v>41</v>
      </c>
    </row>
    <row r="9" spans="1:6" x14ac:dyDescent="0.2">
      <c r="A9" s="21" t="s">
        <v>28</v>
      </c>
      <c r="B9" s="21"/>
      <c r="C9" s="22">
        <v>21</v>
      </c>
      <c r="D9" s="22">
        <v>21</v>
      </c>
      <c r="E9" s="32"/>
    </row>
    <row r="10" spans="1:6" ht="13.5" thickBot="1" x14ac:dyDescent="0.25">
      <c r="A10" s="23"/>
      <c r="B10" s="23"/>
      <c r="C10" s="5" t="s">
        <v>18</v>
      </c>
      <c r="D10" s="5" t="s">
        <v>19</v>
      </c>
    </row>
    <row r="11" spans="1:6" x14ac:dyDescent="0.2">
      <c r="A11" s="23" t="s">
        <v>13</v>
      </c>
      <c r="B11" s="23"/>
      <c r="C11" s="24">
        <f ca="1">INTERCEPT(INDIRECT(C14):R$935,INDIRECT(C13):$F$935)</f>
        <v>-5.3639416024237919E-3</v>
      </c>
      <c r="D11" s="24">
        <f ca="1">INTERCEPT(INDIRECT(D14):S$935,INDIRECT(D13):$F$935)</f>
        <v>-1.2936961774445372</v>
      </c>
      <c r="E11" s="21" t="s">
        <v>34</v>
      </c>
      <c r="F11">
        <v>1</v>
      </c>
    </row>
    <row r="12" spans="1:6" x14ac:dyDescent="0.2">
      <c r="A12" s="23" t="s">
        <v>14</v>
      </c>
      <c r="B12" s="23"/>
      <c r="C12" s="24">
        <f ca="1">SLOPE(INDIRECT(C14):R$935,INDIRECT(C13):$F$935)</f>
        <v>-4.5912191921484785E-6</v>
      </c>
      <c r="D12" s="24">
        <f ca="1">SLOPE(INDIRECT(D14):S$935,INDIRECT(D13):$F$935)</f>
        <v>-2.054961792545966E-4</v>
      </c>
      <c r="E12" s="21" t="s">
        <v>35</v>
      </c>
      <c r="F12" s="31">
        <f ca="1">NOW()+15018.5+$C$5/24</f>
        <v>60340.663443865735</v>
      </c>
    </row>
    <row r="13" spans="1:6" x14ac:dyDescent="0.2">
      <c r="A13" s="21" t="s">
        <v>29</v>
      </c>
      <c r="B13" s="21"/>
      <c r="C13" s="22" t="str">
        <f>"F"&amp;C9</f>
        <v>F21</v>
      </c>
      <c r="D13" s="22" t="str">
        <f>"F"&amp;D9</f>
        <v>F21</v>
      </c>
      <c r="E13" s="21" t="s">
        <v>36</v>
      </c>
      <c r="F13" s="31">
        <f ca="1">ROUND(2*(F12-$C$7)/$C$8,0)/2+F11</f>
        <v>632</v>
      </c>
    </row>
    <row r="14" spans="1:6" x14ac:dyDescent="0.2">
      <c r="A14" s="21" t="s">
        <v>30</v>
      </c>
      <c r="B14" s="21"/>
      <c r="C14" s="22" t="str">
        <f>"R"&amp;C9</f>
        <v>R21</v>
      </c>
      <c r="D14" s="22" t="str">
        <f>"S"&amp;D9</f>
        <v>S21</v>
      </c>
      <c r="E14" s="21" t="s">
        <v>37</v>
      </c>
      <c r="F14" s="32">
        <f ca="1">ROUND(2*(F12-$C$15)/$C$16,0)/2+F11</f>
        <v>632</v>
      </c>
    </row>
    <row r="15" spans="1:6" x14ac:dyDescent="0.2">
      <c r="A15" s="25" t="s">
        <v>15</v>
      </c>
      <c r="B15" s="23"/>
      <c r="C15" s="26">
        <f ca="1">($C7+C11)+($C8+C12)*INT(MAX($F21:$F3533))</f>
        <v>52501.819736058402</v>
      </c>
      <c r="D15" s="26">
        <f ca="1">($C7+D11)+($C8+D12)*INT(MAX($F21:$F3533))</f>
        <v>52500.531403822555</v>
      </c>
      <c r="E15" s="21" t="s">
        <v>38</v>
      </c>
      <c r="F15" s="33">
        <f ca="1">+$C$15+$C$16*F14-15018.5-$C$5/24</f>
        <v>45336.767707741208</v>
      </c>
    </row>
    <row r="16" spans="1:6" x14ac:dyDescent="0.2">
      <c r="A16" s="27" t="s">
        <v>4</v>
      </c>
      <c r="B16" s="23"/>
      <c r="C16" s="28">
        <f ca="1">+$C8+C12</f>
        <v>12.425715408780809</v>
      </c>
      <c r="D16" s="24">
        <f ca="1">+$C8+D12</f>
        <v>12.425514503820745</v>
      </c>
      <c r="E16" s="34"/>
      <c r="F16" s="34" t="s">
        <v>33</v>
      </c>
    </row>
    <row r="17" spans="1:19" ht="13.5" thickBot="1" x14ac:dyDescent="0.25">
      <c r="A17" s="20" t="s">
        <v>27</v>
      </c>
      <c r="C17">
        <f>COUNT(C21:C1247)</f>
        <v>7</v>
      </c>
    </row>
    <row r="18" spans="1:19" ht="14.25" thickTop="1" thickBot="1" x14ac:dyDescent="0.25">
      <c r="A18" s="6" t="s">
        <v>21</v>
      </c>
      <c r="C18" s="3">
        <f ca="1">+C15</f>
        <v>52501.819736058402</v>
      </c>
      <c r="D18" s="4">
        <f ca="1">+C16</f>
        <v>12.425715408780809</v>
      </c>
      <c r="E18" s="35">
        <f>R19</f>
        <v>4</v>
      </c>
    </row>
    <row r="19" spans="1:19" ht="14.25" thickTop="1" thickBot="1" x14ac:dyDescent="0.25">
      <c r="A19" s="6" t="s">
        <v>22</v>
      </c>
      <c r="C19" s="3">
        <f ca="1">+D15</f>
        <v>52500.531403822555</v>
      </c>
      <c r="D19" s="4">
        <f ca="1">+D16</f>
        <v>12.425514503820745</v>
      </c>
      <c r="E19" s="35">
        <f>S19</f>
        <v>3</v>
      </c>
      <c r="R19">
        <f>COUNT(R21:R322)</f>
        <v>4</v>
      </c>
      <c r="S19">
        <f>COUNT(S21:S322)</f>
        <v>3</v>
      </c>
    </row>
    <row r="20" spans="1:19" ht="14.25" thickTop="1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47</v>
      </c>
      <c r="I20" s="8" t="s">
        <v>44</v>
      </c>
      <c r="J20" s="8" t="s">
        <v>48</v>
      </c>
      <c r="K20" s="8" t="s">
        <v>49</v>
      </c>
      <c r="L20" s="8" t="s">
        <v>25</v>
      </c>
      <c r="M20" s="8" t="s">
        <v>17</v>
      </c>
      <c r="N20" s="8" t="s">
        <v>20</v>
      </c>
      <c r="O20" s="8" t="s">
        <v>23</v>
      </c>
      <c r="P20" s="7" t="s">
        <v>24</v>
      </c>
      <c r="Q20" s="5" t="s">
        <v>12</v>
      </c>
      <c r="R20" s="9" t="s">
        <v>18</v>
      </c>
      <c r="S20" s="9" t="s">
        <v>19</v>
      </c>
    </row>
    <row r="21" spans="1:19" x14ac:dyDescent="0.2">
      <c r="A21" t="s">
        <v>42</v>
      </c>
      <c r="B21" t="s">
        <v>43</v>
      </c>
      <c r="C21" s="14">
        <v>23587.184000000001</v>
      </c>
      <c r="D21" s="14" t="s">
        <v>44</v>
      </c>
      <c r="E21">
        <f t="shared" ref="E21:E27" si="0">+(C21-C$7)/C$8</f>
        <v>-2326.9992483332958</v>
      </c>
      <c r="F21">
        <f t="shared" ref="F21:F27" si="1">ROUND(2*E21,0)/2</f>
        <v>-2327</v>
      </c>
      <c r="G21">
        <f t="shared" ref="G21:G27" si="2">+C21-(C$7+F21*C$8)</f>
        <v>9.3400000005203765E-3</v>
      </c>
      <c r="I21">
        <f t="shared" ref="I21:I27" si="3">+G21</f>
        <v>9.3400000005203765E-3</v>
      </c>
      <c r="O21">
        <f t="shared" ref="O21:P27" ca="1" si="4">+C$11+C$12*$F21</f>
        <v>5.3198254577057173E-3</v>
      </c>
      <c r="P21">
        <f t="shared" ca="1" si="4"/>
        <v>-0.81550656831909096</v>
      </c>
      <c r="Q21" s="2">
        <f t="shared" ref="Q21:Q27" si="5">+C21-15018.5</f>
        <v>8568.6840000000011</v>
      </c>
      <c r="R21">
        <f>G21</f>
        <v>9.3400000005203765E-3</v>
      </c>
    </row>
    <row r="22" spans="1:19" x14ac:dyDescent="0.2">
      <c r="A22" t="s">
        <v>42</v>
      </c>
      <c r="B22" t="s">
        <v>45</v>
      </c>
      <c r="C22" s="14">
        <v>23592.564999999999</v>
      </c>
      <c r="D22" s="14" t="s">
        <v>44</v>
      </c>
      <c r="E22">
        <f t="shared" si="0"/>
        <v>-2326.5661949569121</v>
      </c>
      <c r="F22">
        <f t="shared" si="1"/>
        <v>-2326.5</v>
      </c>
      <c r="G22">
        <f t="shared" si="2"/>
        <v>-0.82252000000153203</v>
      </c>
      <c r="I22">
        <f t="shared" si="3"/>
        <v>-0.82252000000153203</v>
      </c>
      <c r="O22">
        <f t="shared" ca="1" si="4"/>
        <v>5.3175298481096429E-3</v>
      </c>
      <c r="P22">
        <f t="shared" ca="1" si="4"/>
        <v>-0.81560931640871825</v>
      </c>
      <c r="Q22" s="2">
        <f t="shared" si="5"/>
        <v>8574.0649999999987</v>
      </c>
      <c r="S22">
        <f>G22</f>
        <v>-0.82252000000153203</v>
      </c>
    </row>
    <row r="23" spans="1:19" x14ac:dyDescent="0.2">
      <c r="A23" t="s">
        <v>46</v>
      </c>
      <c r="B23" t="s">
        <v>43</v>
      </c>
      <c r="C23" s="14">
        <v>38274.372000000003</v>
      </c>
      <c r="D23" s="14" t="s">
        <v>44</v>
      </c>
      <c r="E23">
        <f t="shared" si="0"/>
        <v>-1145.0002977694651</v>
      </c>
      <c r="F23">
        <f t="shared" si="1"/>
        <v>-1145</v>
      </c>
      <c r="G23">
        <f t="shared" si="2"/>
        <v>-3.7000000011175871E-3</v>
      </c>
      <c r="I23">
        <f t="shared" si="3"/>
        <v>-3.7000000011175871E-3</v>
      </c>
      <c r="O23">
        <f t="shared" ca="1" si="4"/>
        <v>-1.0699562741378447E-4</v>
      </c>
      <c r="P23">
        <f t="shared" ca="1" si="4"/>
        <v>-1.0584030521980241</v>
      </c>
      <c r="Q23" s="2">
        <f t="shared" si="5"/>
        <v>23255.872000000003</v>
      </c>
      <c r="R23">
        <f>G23</f>
        <v>-3.7000000011175871E-3</v>
      </c>
    </row>
    <row r="24" spans="1:19" x14ac:dyDescent="0.2">
      <c r="A24" t="s">
        <v>46</v>
      </c>
      <c r="B24" t="s">
        <v>45</v>
      </c>
      <c r="C24" s="14">
        <v>38279.571000000004</v>
      </c>
      <c r="D24" s="14" t="s">
        <v>44</v>
      </c>
      <c r="E24">
        <f t="shared" si="0"/>
        <v>-1144.5818914316433</v>
      </c>
      <c r="F24">
        <f t="shared" si="1"/>
        <v>-1144.5</v>
      </c>
      <c r="G24">
        <f t="shared" si="2"/>
        <v>-1.0175600000002305</v>
      </c>
      <c r="I24">
        <f t="shared" si="3"/>
        <v>-1.0175600000002305</v>
      </c>
      <c r="O24">
        <f t="shared" ca="1" si="4"/>
        <v>-1.09291237009858E-4</v>
      </c>
      <c r="P24">
        <f t="shared" ca="1" si="4"/>
        <v>-1.0585058002876515</v>
      </c>
      <c r="Q24" s="2">
        <f t="shared" si="5"/>
        <v>23261.071000000004</v>
      </c>
      <c r="S24">
        <f>G24</f>
        <v>-1.0175600000002305</v>
      </c>
    </row>
    <row r="25" spans="1:19" x14ac:dyDescent="0.2">
      <c r="A25" t="s">
        <v>42</v>
      </c>
      <c r="B25" t="s">
        <v>43</v>
      </c>
      <c r="C25" s="14">
        <v>41256.541499999999</v>
      </c>
      <c r="D25" s="14" t="s">
        <v>44</v>
      </c>
      <c r="E25">
        <f t="shared" si="0"/>
        <v>-905.00056334763724</v>
      </c>
      <c r="F25">
        <f t="shared" si="1"/>
        <v>-905</v>
      </c>
      <c r="G25">
        <f t="shared" si="2"/>
        <v>-7.0000000050640665E-3</v>
      </c>
      <c r="I25">
        <f t="shared" si="3"/>
        <v>-7.0000000050640665E-3</v>
      </c>
      <c r="O25">
        <f t="shared" ca="1" si="4"/>
        <v>-1.2088882335294189E-3</v>
      </c>
      <c r="P25">
        <f t="shared" ca="1" si="4"/>
        <v>-1.1077221352191273</v>
      </c>
      <c r="Q25" s="2">
        <f t="shared" si="5"/>
        <v>26238.041499999999</v>
      </c>
      <c r="R25">
        <f>G25</f>
        <v>-7.0000000050640665E-3</v>
      </c>
    </row>
    <row r="26" spans="1:19" x14ac:dyDescent="0.2">
      <c r="A26" t="s">
        <v>42</v>
      </c>
      <c r="B26" t="s">
        <v>45</v>
      </c>
      <c r="C26" s="14">
        <v>41261.619500000001</v>
      </c>
      <c r="D26" s="14" t="s">
        <v>44</v>
      </c>
      <c r="E26">
        <f t="shared" si="0"/>
        <v>-904.59189487611184</v>
      </c>
      <c r="F26">
        <f t="shared" si="1"/>
        <v>-904.5</v>
      </c>
      <c r="G26">
        <f t="shared" si="2"/>
        <v>-1.1418600000033621</v>
      </c>
      <c r="I26">
        <f t="shared" si="3"/>
        <v>-1.1418600000033621</v>
      </c>
      <c r="O26">
        <f t="shared" ca="1" si="4"/>
        <v>-1.2111838431254933E-3</v>
      </c>
      <c r="P26">
        <f t="shared" ca="1" si="4"/>
        <v>-1.1078248833087545</v>
      </c>
      <c r="Q26" s="2">
        <f t="shared" si="5"/>
        <v>26243.119500000001</v>
      </c>
      <c r="S26">
        <f>G26</f>
        <v>-1.1418600000033621</v>
      </c>
    </row>
    <row r="27" spans="1:19" x14ac:dyDescent="0.2">
      <c r="A27" t="str">
        <f>D7</f>
        <v>Kreiner</v>
      </c>
      <c r="C27" s="14">
        <f>C$7</f>
        <v>52501.825100000002</v>
      </c>
      <c r="D27" s="14" t="s">
        <v>26</v>
      </c>
      <c r="E27">
        <f t="shared" si="0"/>
        <v>0</v>
      </c>
      <c r="F27">
        <f t="shared" si="1"/>
        <v>0</v>
      </c>
      <c r="G27">
        <f t="shared" si="2"/>
        <v>0</v>
      </c>
      <c r="I27">
        <f t="shared" si="3"/>
        <v>0</v>
      </c>
      <c r="O27">
        <f t="shared" ca="1" si="4"/>
        <v>-5.3639416024237919E-3</v>
      </c>
      <c r="P27">
        <f t="shared" ca="1" si="4"/>
        <v>-1.2936961774445372</v>
      </c>
      <c r="Q27" s="2">
        <f t="shared" si="5"/>
        <v>37483.325100000002</v>
      </c>
      <c r="R27">
        <f>G27</f>
        <v>0</v>
      </c>
    </row>
    <row r="28" spans="1:19" x14ac:dyDescent="0.2">
      <c r="A28" s="10"/>
      <c r="B28" s="10"/>
      <c r="C28" s="11"/>
      <c r="D28" s="11"/>
      <c r="Q28" s="2"/>
    </row>
    <row r="29" spans="1:19" x14ac:dyDescent="0.2">
      <c r="A29" s="15"/>
      <c r="B29" s="16"/>
      <c r="C29" s="17"/>
      <c r="D29" s="17"/>
      <c r="Q29" s="2"/>
    </row>
    <row r="30" spans="1:19" x14ac:dyDescent="0.2">
      <c r="A30" s="12"/>
      <c r="B30" s="13"/>
      <c r="C30" s="11"/>
      <c r="D30" s="14"/>
      <c r="Q30" s="2"/>
    </row>
    <row r="31" spans="1:19" x14ac:dyDescent="0.2">
      <c r="A31" s="15"/>
      <c r="B31" s="18"/>
      <c r="C31" s="11"/>
      <c r="D31" s="11"/>
      <c r="Q31" s="2"/>
    </row>
    <row r="32" spans="1:19" x14ac:dyDescent="0.2">
      <c r="A32" s="15"/>
      <c r="B32" s="18"/>
      <c r="C32" s="11"/>
      <c r="D32" s="11"/>
      <c r="Q32" s="2"/>
    </row>
    <row r="33" spans="1:17" x14ac:dyDescent="0.2">
      <c r="A33" s="19"/>
      <c r="B33" s="13"/>
      <c r="C33" s="11"/>
      <c r="D33" s="14"/>
      <c r="Q33" s="2"/>
    </row>
    <row r="34" spans="1:17" x14ac:dyDescent="0.2">
      <c r="A34" s="19"/>
      <c r="B34" s="13"/>
      <c r="C34" s="11"/>
      <c r="D34" s="14"/>
      <c r="Q34" s="2"/>
    </row>
    <row r="35" spans="1:17" x14ac:dyDescent="0.2">
      <c r="A35" s="19"/>
      <c r="B35" s="13"/>
      <c r="C35" s="11"/>
      <c r="D35" s="14"/>
      <c r="Q35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2024-01-31T02:55:21Z</dcterms:modified>
</cp:coreProperties>
</file>