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E57310-CC54-4672-A52C-67ADF0ACA46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A43" i="1" l="1"/>
  <c r="E46" i="1"/>
  <c r="F46" i="1"/>
  <c r="G46" i="1"/>
  <c r="K46" i="1"/>
  <c r="E45" i="1"/>
  <c r="F45" i="1"/>
  <c r="G45" i="1"/>
  <c r="K45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C43" i="1"/>
  <c r="E43" i="1"/>
  <c r="F43" i="1"/>
  <c r="E44" i="1"/>
  <c r="F44" i="1"/>
  <c r="G44" i="1"/>
  <c r="I44" i="1"/>
  <c r="Q46" i="1"/>
  <c r="Q4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4" i="1"/>
  <c r="Q38" i="1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6" i="1"/>
  <c r="C17" i="1"/>
  <c r="Q43" i="1"/>
  <c r="G43" i="1"/>
  <c r="H43" i="1"/>
  <c r="C12" i="1"/>
  <c r="C11" i="1"/>
  <c r="O46" i="1" l="1"/>
  <c r="O25" i="1"/>
  <c r="O40" i="1"/>
  <c r="O24" i="1"/>
  <c r="O32" i="1"/>
  <c r="O39" i="1"/>
  <c r="O27" i="1"/>
  <c r="O33" i="1"/>
  <c r="O43" i="1"/>
  <c r="O44" i="1"/>
  <c r="O22" i="1"/>
  <c r="O21" i="1"/>
  <c r="O35" i="1"/>
  <c r="O42" i="1"/>
  <c r="O26" i="1"/>
  <c r="O29" i="1"/>
  <c r="O38" i="1"/>
  <c r="O45" i="1"/>
  <c r="O34" i="1"/>
  <c r="O37" i="1"/>
  <c r="O28" i="1"/>
  <c r="O36" i="1"/>
  <c r="O30" i="1"/>
  <c r="O41" i="1"/>
  <c r="C15" i="1"/>
  <c r="F18" i="1" s="1"/>
  <c r="O23" i="1"/>
  <c r="O3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<sst xmlns="http://schemas.openxmlformats.org/spreadsheetml/2006/main" count="289" uniqueCount="140">
  <si>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</si>
  <si>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</si>
  <si>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</si>
  <si>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</si>
  <si>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</si>
  <si>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</si>
  <si>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</si>
  <si>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</si>
  <si>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</si>
  <si>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</si>
  <si>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</si>
  <si>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</si>
  <si>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</si>
  <si>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</si>
  <si>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</si>
  <si>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</si>
  <si>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</si>
  <si>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</si>
  <si>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</si>
  <si>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</si>
  <si>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</si>
  <si>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</si>
  <si>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</si>
  <si>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</si>
  <si>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</si>
  <si>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</si>
  <si>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</si>
  <si>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</si>
  <si>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</si>
  <si>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</si>
  <si>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</si>
  <si>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</si>
  <si>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</si>
  <si>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</si>
  <si>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</si>
  <si>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</si>
  <si>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</si>
  <si>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</si>
  <si>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</si>
  <si>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</si>
  <si>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</si>
  <si>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</si>
  <si>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</si>
  <si>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</si>
  <si>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</si>
  <si>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</si>
  <si>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</si>
  <si>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</si>
  <si>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</si>
  <si>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</si>
  <si>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V0393 Cyg</t>
  </si>
  <si>
    <t>EA/DS</t>
  </si>
  <si>
    <t>V0393 Cyg / GSC 52502.2</t>
  </si>
  <si>
    <t>Kreiner</t>
  </si>
  <si>
    <t>F21</t>
  </si>
  <si>
    <t>G21</t>
  </si>
  <si>
    <t>2427689.397 </t>
  </si>
  <si>
    <t> 08.09.1934 21:31 </t>
  </si>
  <si>
    <t> 0.061 </t>
  </si>
  <si>
    <t>P </t>
  </si>
  <si>
    <t> O.Morgenroth </t>
  </si>
  <si>
    <t> AN 255.425 </t>
  </si>
  <si>
    <t>2428725.360 </t>
  </si>
  <si>
    <t> 10.07.1937 20:38 </t>
  </si>
  <si>
    <t> -0.125 </t>
  </si>
  <si>
    <t> V.Sazonov </t>
  </si>
  <si>
    <t> PZ 13.303 </t>
  </si>
  <si>
    <t>2429134.462 </t>
  </si>
  <si>
    <t> 23.08.1938 23:05 </t>
  </si>
  <si>
    <t> -0.030 </t>
  </si>
  <si>
    <t>2435365.271 </t>
  </si>
  <si>
    <t> 14.09.1955 18:30 </t>
  </si>
  <si>
    <t> 0.252 </t>
  </si>
  <si>
    <t>2438255.476 </t>
  </si>
  <si>
    <t> 13.08.1963 23:25 </t>
  </si>
  <si>
    <t> 0.146 </t>
  </si>
  <si>
    <t> T.Berthold </t>
  </si>
  <si>
    <t> MVS 9.20 </t>
  </si>
  <si>
    <t>2438323.332 </t>
  </si>
  <si>
    <t> 20.10.1963 19:58 </t>
  </si>
  <si>
    <t> -0.166 </t>
  </si>
  <si>
    <t>2438473.626 </t>
  </si>
  <si>
    <t> 19.03.1964 03:01 </t>
  </si>
  <si>
    <t> 0.159 </t>
  </si>
  <si>
    <t> K.Reichenbächer </t>
  </si>
  <si>
    <t> MVS 8.52 </t>
  </si>
  <si>
    <t>2438555.397 </t>
  </si>
  <si>
    <t> 08.06.1964 21:31 </t>
  </si>
  <si>
    <t> 0.129 </t>
  </si>
  <si>
    <t>2438623.439 </t>
  </si>
  <si>
    <t> 15.08.1964 22:32 </t>
  </si>
  <si>
    <t> 0.004 </t>
  </si>
  <si>
    <t>2438882.532 </t>
  </si>
  <si>
    <t> 02.05.1965 00:46 </t>
  </si>
  <si>
    <t> 0.059 </t>
  </si>
  <si>
    <t>2438882.583 </t>
  </si>
  <si>
    <t> 02.05.1965 01:59 </t>
  </si>
  <si>
    <t> 0.110 </t>
  </si>
  <si>
    <t>2439918.662 </t>
  </si>
  <si>
    <t> 03.03.1968 03:53 </t>
  </si>
  <si>
    <t> 0.040 </t>
  </si>
  <si>
    <t>2440068.454 </t>
  </si>
  <si>
    <t> 30.07.1968 22:53 </t>
  </si>
  <si>
    <t> -0.137 </t>
  </si>
  <si>
    <t>2440150.322 </t>
  </si>
  <si>
    <t> 20.10.1968 19:43 </t>
  </si>
  <si>
    <t> -0.070 </t>
  </si>
  <si>
    <t>2440859.354 </t>
  </si>
  <si>
    <t> 29.09.1970 20:29 </t>
  </si>
  <si>
    <t> 0.018 </t>
  </si>
  <si>
    <t>2444090.45 </t>
  </si>
  <si>
    <t> 04.08.1979 22:48 </t>
  </si>
  <si>
    <t> -0.03 </t>
  </si>
  <si>
    <t>V </t>
  </si>
  <si>
    <t> W.Ihle </t>
  </si>
  <si>
    <t>2444090.480 </t>
  </si>
  <si>
    <t> 04.08.1979 23:31 </t>
  </si>
  <si>
    <t> -0.005 </t>
  </si>
  <si>
    <t> P.Enskonatus </t>
  </si>
  <si>
    <t>2444158.35 </t>
  </si>
  <si>
    <t> 11.10.1979 20:24 </t>
  </si>
  <si>
    <t> -0.30 </t>
  </si>
  <si>
    <t>2444172.34 </t>
  </si>
  <si>
    <t> 25.10.1979 20:09 </t>
  </si>
  <si>
    <t> 0.05 </t>
  </si>
  <si>
    <t>2444172.347 </t>
  </si>
  <si>
    <t> 25.10.1979 20:19 </t>
  </si>
  <si>
    <t>2444390.46 </t>
  </si>
  <si>
    <t> 30.05.1980 23:02 </t>
  </si>
  <si>
    <t> 0.04 </t>
  </si>
  <si>
    <t>2454697.4009 </t>
  </si>
  <si>
    <t> 18.08.2008 21:37 </t>
  </si>
  <si>
    <t> 0.0218 </t>
  </si>
  <si>
    <t>C </t>
  </si>
  <si>
    <t>-I</t>
  </si>
  <si>
    <t> F.Agerer </t>
  </si>
  <si>
    <t>BAVM 203 </t>
  </si>
  <si>
    <t>I</t>
  </si>
  <si>
    <t>GCVS 4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</si>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</sst>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7" fillId="0" borderId="0"/>
    <xf numFmtId="0" fontId="1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9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5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6" borderId="17" xfId="0" applyFont="1" applyFill="1" applyBorder="1" applyAlignment="1">
      <alignment horizontal="left" vertical="top" wrapText="1" indent="1"/>
    </xf>
    <xf numFmtId="0" fontId="5" fillId="26" borderId="17" xfId="0" applyFont="1" applyFill="1" applyBorder="1" applyAlignment="1">
      <alignment horizontal="center" vertical="top" wrapText="1"/>
    </xf>
    <xf numFmtId="0" fontId="5" fillId="26" borderId="17" xfId="0" applyFont="1" applyFill="1" applyBorder="1" applyAlignment="1">
      <alignment horizontal="right" vertical="top" wrapText="1"/>
    </xf>
    <xf numFmtId="0" fontId="21" fillId="26" borderId="17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37" fillId="0" borderId="0" xfId="42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V0393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E-49EB-AB57-F5464EEE55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-0.19699999999647844</c:v>
                </c:pt>
                <c:pt idx="1">
                  <c:v>-0.3647999999957392</c:v>
                </c:pt>
                <c:pt idx="2">
                  <c:v>-0.26179999999658321</c:v>
                </c:pt>
                <c:pt idx="3">
                  <c:v>0.12910000000556465</c:v>
                </c:pt>
                <c:pt idx="4">
                  <c:v>7.4500000009720679E-2</c:v>
                </c:pt>
                <c:pt idx="5">
                  <c:v>-0.23599999999714782</c:v>
                </c:pt>
                <c:pt idx="6">
                  <c:v>9.1699999997217674E-2</c:v>
                </c:pt>
                <c:pt idx="7">
                  <c:v>6.2900000004447065E-2</c:v>
                </c:pt>
                <c:pt idx="8">
                  <c:v>-6.160000000090804E-2</c:v>
                </c:pt>
                <c:pt idx="9">
                  <c:v>-1.2999999962630682E-3</c:v>
                </c:pt>
                <c:pt idx="10">
                  <c:v>4.9700000003213063E-2</c:v>
                </c:pt>
                <c:pt idx="11">
                  <c:v>-2.0999999978812411E-3</c:v>
                </c:pt>
                <c:pt idx="12">
                  <c:v>-0.17639999999664724</c:v>
                </c:pt>
                <c:pt idx="13">
                  <c:v>-0.1081999999951222</c:v>
                </c:pt>
                <c:pt idx="14">
                  <c:v>-7.7999999994062819E-3</c:v>
                </c:pt>
                <c:pt idx="15">
                  <c:v>-3.8999999960651621E-3</c:v>
                </c:pt>
                <c:pt idx="16">
                  <c:v>2.6100000010046642E-2</c:v>
                </c:pt>
                <c:pt idx="17">
                  <c:v>3.1100000007427298E-2</c:v>
                </c:pt>
                <c:pt idx="18">
                  <c:v>-0.27040000000124564</c:v>
                </c:pt>
                <c:pt idx="19">
                  <c:v>8.6299999995389953E-2</c:v>
                </c:pt>
                <c:pt idx="20">
                  <c:v>9.330000000045402E-2</c:v>
                </c:pt>
                <c:pt idx="21">
                  <c:v>7.3500000005878974E-2</c:v>
                </c:pt>
                <c:pt idx="23">
                  <c:v>0.23960000000079162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E-49EB-AB57-F5464EEE55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E-49EB-AB57-F5464EEE55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4">
                  <c:v>0.25907000000006519</c:v>
                </c:pt>
                <c:pt idx="25">
                  <c:v>0.26510000000416767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E-49EB-AB57-F5464EEE55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E-49EB-AB57-F5464EEE55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E-49EB-AB57-F5464EEE55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5.9999999999999995E-4</c:v>
                  </c:pt>
                  <c:pt idx="2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E-49EB-AB57-F5464EEE55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-0.21850372121476916</c:v>
                </c:pt>
                <c:pt idx="1">
                  <c:v>-0.20287480235104108</c:v>
                </c:pt>
                <c:pt idx="2">
                  <c:v>-0.19670549227325371</c:v>
                </c:pt>
                <c:pt idx="3">
                  <c:v>-0.10272633542162582</c:v>
                </c:pt>
                <c:pt idx="4">
                  <c:v>-5.9129877538594916E-2</c:v>
                </c:pt>
                <c:pt idx="5">
                  <c:v>-5.8101659192297039E-2</c:v>
                </c:pt>
                <c:pt idx="6">
                  <c:v>-5.5839578830441661E-2</c:v>
                </c:pt>
                <c:pt idx="7">
                  <c:v>-5.4605716814884186E-2</c:v>
                </c:pt>
                <c:pt idx="8">
                  <c:v>-5.3577498468586282E-2</c:v>
                </c:pt>
                <c:pt idx="9">
                  <c:v>-4.9670268752654262E-2</c:v>
                </c:pt>
                <c:pt idx="10">
                  <c:v>-4.9670268752654262E-2</c:v>
                </c:pt>
                <c:pt idx="11">
                  <c:v>-3.4041349888926209E-2</c:v>
                </c:pt>
                <c:pt idx="12">
                  <c:v>-3.177926952707083E-2</c:v>
                </c:pt>
                <c:pt idx="13">
                  <c:v>-3.0545407511513356E-2</c:v>
                </c:pt>
                <c:pt idx="14">
                  <c:v>-1.9851936710015228E-2</c:v>
                </c:pt>
                <c:pt idx="15">
                  <c:v>2.8885612904505142E-2</c:v>
                </c:pt>
                <c:pt idx="16">
                  <c:v>2.8885612904505142E-2</c:v>
                </c:pt>
                <c:pt idx="17">
                  <c:v>2.8885612904505142E-2</c:v>
                </c:pt>
                <c:pt idx="18">
                  <c:v>2.9913831250803047E-2</c:v>
                </c:pt>
                <c:pt idx="19">
                  <c:v>3.0119474920062617E-2</c:v>
                </c:pt>
                <c:pt idx="20">
                  <c:v>3.0119474920062617E-2</c:v>
                </c:pt>
                <c:pt idx="21">
                  <c:v>3.34097736282159E-2</c:v>
                </c:pt>
                <c:pt idx="22">
                  <c:v>0.15576775683766578</c:v>
                </c:pt>
                <c:pt idx="23">
                  <c:v>0.18887638758845809</c:v>
                </c:pt>
                <c:pt idx="24">
                  <c:v>0.22589224805518243</c:v>
                </c:pt>
                <c:pt idx="25">
                  <c:v>0.22753739740925905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E-49EB-AB57-F5464EEE557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-1820</c:v>
                </c:pt>
                <c:pt idx="1">
                  <c:v>-1744</c:v>
                </c:pt>
                <c:pt idx="2">
                  <c:v>-1714</c:v>
                </c:pt>
                <c:pt idx="3">
                  <c:v>-1257</c:v>
                </c:pt>
                <c:pt idx="4">
                  <c:v>-1045</c:v>
                </c:pt>
                <c:pt idx="5">
                  <c:v>-1040</c:v>
                </c:pt>
                <c:pt idx="6">
                  <c:v>-1029</c:v>
                </c:pt>
                <c:pt idx="7">
                  <c:v>-1023</c:v>
                </c:pt>
                <c:pt idx="8">
                  <c:v>-1018</c:v>
                </c:pt>
                <c:pt idx="9">
                  <c:v>-999</c:v>
                </c:pt>
                <c:pt idx="10">
                  <c:v>-999</c:v>
                </c:pt>
                <c:pt idx="11">
                  <c:v>-923</c:v>
                </c:pt>
                <c:pt idx="12">
                  <c:v>-912</c:v>
                </c:pt>
                <c:pt idx="13">
                  <c:v>-906</c:v>
                </c:pt>
                <c:pt idx="14">
                  <c:v>-854</c:v>
                </c:pt>
                <c:pt idx="15">
                  <c:v>-617</c:v>
                </c:pt>
                <c:pt idx="16">
                  <c:v>-617</c:v>
                </c:pt>
                <c:pt idx="17">
                  <c:v>-617</c:v>
                </c:pt>
                <c:pt idx="18">
                  <c:v>-612</c:v>
                </c:pt>
                <c:pt idx="19">
                  <c:v>-611</c:v>
                </c:pt>
                <c:pt idx="20">
                  <c:v>-611</c:v>
                </c:pt>
                <c:pt idx="21">
                  <c:v>-595</c:v>
                </c:pt>
                <c:pt idx="22">
                  <c:v>0</c:v>
                </c:pt>
                <c:pt idx="23">
                  <c:v>161</c:v>
                </c:pt>
                <c:pt idx="24">
                  <c:v>341</c:v>
                </c:pt>
                <c:pt idx="25">
                  <c:v>349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AE-49EB-AB57-F5464EEE5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140616"/>
        <c:axId val="1"/>
      </c:scatterChart>
      <c:valAx>
        <c:axId val="731140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140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5399DE-DC65-C4D0-C17C-26D7DBFA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52</v>
      </c>
      <c r="F1" s="31" t="s">
        <v>50</v>
      </c>
      <c r="G1" s="32">
        <v>19.58483</v>
      </c>
      <c r="H1" s="33">
        <v>43.174399999999999</v>
      </c>
      <c r="I1" s="34">
        <v>52502.2</v>
      </c>
      <c r="J1" s="35">
        <v>13.6333</v>
      </c>
      <c r="K1" s="36" t="s">
        <v>51</v>
      </c>
      <c r="L1" s="37"/>
      <c r="M1" s="38">
        <v>52502.2</v>
      </c>
      <c r="N1" s="38">
        <v>13.6333</v>
      </c>
      <c r="O1" s="41" t="s">
        <v>51</v>
      </c>
    </row>
    <row r="2" spans="1:15" x14ac:dyDescent="0.2">
      <c r="A2" t="s">
        <v>24</v>
      </c>
      <c r="B2" t="s">
        <v>51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1</v>
      </c>
      <c r="C4" s="27">
        <v>44090.485000000001</v>
      </c>
      <c r="D4" s="28">
        <v>13.63354</v>
      </c>
    </row>
    <row r="5" spans="1:15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5" x14ac:dyDescent="0.2">
      <c r="A6" s="5" t="s">
        <v>2</v>
      </c>
    </row>
    <row r="7" spans="1:15" x14ac:dyDescent="0.2">
      <c r="A7" t="s">
        <v>3</v>
      </c>
      <c r="C7" s="65">
        <v>52502.2</v>
      </c>
      <c r="D7" s="29" t="s">
        <v>53</v>
      </c>
    </row>
    <row r="8" spans="1:15" x14ac:dyDescent="0.2">
      <c r="A8" t="s">
        <v>4</v>
      </c>
      <c r="C8" s="65">
        <v>13.6333</v>
      </c>
      <c r="D8" s="29" t="s">
        <v>53</v>
      </c>
    </row>
    <row r="9" spans="1:15" x14ac:dyDescent="0.2">
      <c r="A9" s="24" t="s">
        <v>33</v>
      </c>
      <c r="C9" s="25">
        <v>21</v>
      </c>
      <c r="D9" s="22" t="s">
        <v>54</v>
      </c>
      <c r="E9" s="23" t="s">
        <v>55</v>
      </c>
    </row>
    <row r="10" spans="1:15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5" x14ac:dyDescent="0.2">
      <c r="A11" s="10" t="s">
        <v>16</v>
      </c>
      <c r="B11" s="10"/>
      <c r="C11" s="21">
        <f ca="1">INTERCEPT(INDIRECT($E$9):G992,INDIRECT($D$9):F992)</f>
        <v>0.15576775683766578</v>
      </c>
      <c r="D11" s="3"/>
      <c r="E11" s="10"/>
    </row>
    <row r="12" spans="1:15" x14ac:dyDescent="0.2">
      <c r="A12" s="10" t="s">
        <v>17</v>
      </c>
      <c r="B12" s="10"/>
      <c r="C12" s="21">
        <f ca="1">SLOPE(INDIRECT($E$9):G992,INDIRECT($D$9):F992)</f>
        <v>2.0564366925957962E-4</v>
      </c>
      <c r="D12" s="3"/>
      <c r="E12" s="10"/>
    </row>
    <row r="13" spans="1:15" x14ac:dyDescent="0.2">
      <c r="A13" s="10" t="s">
        <v>19</v>
      </c>
      <c r="B13" s="10"/>
      <c r="C13" s="3" t="s">
        <v>14</v>
      </c>
    </row>
    <row r="14" spans="1:15" x14ac:dyDescent="0.2">
      <c r="A14" s="10"/>
      <c r="B14" s="10"/>
      <c r="C14" s="10"/>
    </row>
    <row r="15" spans="1:15" x14ac:dyDescent="0.2">
      <c r="A15" s="12" t="s">
        <v>18</v>
      </c>
      <c r="B15" s="10"/>
      <c r="C15" s="13">
        <f ca="1">(C7+C11)+(C8+C12)*INT(MAX(F21:F3533))</f>
        <v>57260.449237397406</v>
      </c>
      <c r="E15" s="14" t="s">
        <v>35</v>
      </c>
      <c r="F15" s="39">
        <v>1</v>
      </c>
    </row>
    <row r="16" spans="1:15" x14ac:dyDescent="0.2">
      <c r="A16" s="16" t="s">
        <v>5</v>
      </c>
      <c r="B16" s="10"/>
      <c r="C16" s="17">
        <f ca="1">+C8+C12</f>
        <v>13.63350564366926</v>
      </c>
      <c r="E16" s="14" t="s">
        <v>31</v>
      </c>
      <c r="F16" s="40">
        <f ca="1">NOW()+15018.5+$C$5/24</f>
        <v>60340.668335763883</v>
      </c>
    </row>
    <row r="17" spans="1:21" ht="13.5" thickBot="1" x14ac:dyDescent="0.25">
      <c r="A17" s="14" t="s">
        <v>28</v>
      </c>
      <c r="B17" s="10"/>
      <c r="C17" s="10">
        <f>COUNT(C21:C2191)</f>
        <v>26</v>
      </c>
      <c r="E17" s="14" t="s">
        <v>36</v>
      </c>
      <c r="F17" s="15">
        <f ca="1">ROUND(2*(F16-$C$7)/$C$8,0)/2+F15</f>
        <v>576</v>
      </c>
    </row>
    <row r="18" spans="1:21" ht="14.25" thickTop="1" thickBot="1" x14ac:dyDescent="0.25">
      <c r="A18" s="16" t="s">
        <v>6</v>
      </c>
      <c r="B18" s="10"/>
      <c r="C18" s="19">
        <f ca="1">+C15</f>
        <v>57260.449237397406</v>
      </c>
      <c r="D18" s="20">
        <f ca="1">+C16</f>
        <v>13.63350564366926</v>
      </c>
      <c r="E18" s="14" t="s">
        <v>37</v>
      </c>
      <c r="F18" s="23">
        <f ca="1">ROUND(2*(F16-$C$15)/$C$16,0)/2+F15</f>
        <v>227</v>
      </c>
    </row>
    <row r="19" spans="1:21" ht="13.5" thickTop="1" x14ac:dyDescent="0.2">
      <c r="E19" s="14" t="s">
        <v>32</v>
      </c>
      <c r="F19" s="18">
        <f ca="1">+$C$15+$C$16*F18-15018.5-$C$5/24</f>
        <v>45337.150851843668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s="55" t="s">
        <v>61</v>
      </c>
      <c r="B21" s="56" t="s">
        <v>137</v>
      </c>
      <c r="C21" s="57">
        <v>27689.397000000001</v>
      </c>
      <c r="D21" s="57" t="s">
        <v>39</v>
      </c>
      <c r="E21">
        <f t="shared" ref="E21:E46" si="0">+(C21-C$7)/C$8</f>
        <v>-1820.0144499130802</v>
      </c>
      <c r="F21">
        <f t="shared" ref="F21:F46" si="1">ROUND(2*E21,0)/2</f>
        <v>-1820</v>
      </c>
      <c r="G21">
        <f t="shared" ref="G21:G46" si="2">+C21-(C$7+F21*C$8)</f>
        <v>-0.19699999999647844</v>
      </c>
      <c r="I21">
        <f>+G21</f>
        <v>-0.19699999999647844</v>
      </c>
      <c r="O21">
        <f t="shared" ref="O21:O46" ca="1" si="3">+C$11+C$12*$F21</f>
        <v>-0.21850372121476916</v>
      </c>
      <c r="Q21" s="2">
        <f t="shared" ref="Q21:Q46" si="4">+C21-15018.5</f>
        <v>12670.897000000001</v>
      </c>
    </row>
    <row r="22" spans="1:21" x14ac:dyDescent="0.2">
      <c r="A22" s="55" t="s">
        <v>66</v>
      </c>
      <c r="B22" s="56" t="s">
        <v>137</v>
      </c>
      <c r="C22" s="57">
        <v>28725.360000000001</v>
      </c>
      <c r="D22" s="57" t="s">
        <v>39</v>
      </c>
      <c r="E22">
        <f t="shared" si="0"/>
        <v>-1744.0267580116331</v>
      </c>
      <c r="F22">
        <f t="shared" si="1"/>
        <v>-1744</v>
      </c>
      <c r="G22">
        <f t="shared" si="2"/>
        <v>-0.3647999999957392</v>
      </c>
      <c r="I22">
        <f>+G22</f>
        <v>-0.3647999999957392</v>
      </c>
      <c r="O22">
        <f t="shared" ca="1" si="3"/>
        <v>-0.20287480235104108</v>
      </c>
      <c r="Q22" s="2">
        <f t="shared" si="4"/>
        <v>13706.86</v>
      </c>
    </row>
    <row r="23" spans="1:21" x14ac:dyDescent="0.2">
      <c r="A23" s="55" t="s">
        <v>66</v>
      </c>
      <c r="B23" s="56" t="s">
        <v>137</v>
      </c>
      <c r="C23" s="57">
        <v>29134.462</v>
      </c>
      <c r="D23" s="57" t="s">
        <v>39</v>
      </c>
      <c r="E23">
        <f t="shared" si="0"/>
        <v>-1714.0192029809361</v>
      </c>
      <c r="F23">
        <f t="shared" si="1"/>
        <v>-1714</v>
      </c>
      <c r="G23">
        <f t="shared" si="2"/>
        <v>-0.26179999999658321</v>
      </c>
      <c r="I23">
        <f>+G23</f>
        <v>-0.26179999999658321</v>
      </c>
      <c r="O23">
        <f t="shared" ca="1" si="3"/>
        <v>-0.19670549227325371</v>
      </c>
      <c r="Q23" s="2">
        <f t="shared" si="4"/>
        <v>14115.962</v>
      </c>
    </row>
    <row r="24" spans="1:21" x14ac:dyDescent="0.2">
      <c r="A24" s="55" t="s">
        <v>66</v>
      </c>
      <c r="B24" s="56" t="s">
        <v>137</v>
      </c>
      <c r="C24" s="57">
        <v>35365.271000000001</v>
      </c>
      <c r="D24" s="57" t="s">
        <v>39</v>
      </c>
      <c r="E24">
        <f t="shared" si="0"/>
        <v>-1256.9905305391942</v>
      </c>
      <c r="F24">
        <f t="shared" si="1"/>
        <v>-1257</v>
      </c>
      <c r="G24">
        <f t="shared" si="2"/>
        <v>0.12910000000556465</v>
      </c>
      <c r="I24">
        <f>+G24</f>
        <v>0.12910000000556465</v>
      </c>
      <c r="O24">
        <f t="shared" ca="1" si="3"/>
        <v>-0.10272633542162582</v>
      </c>
      <c r="Q24" s="2">
        <f t="shared" si="4"/>
        <v>20346.771000000001</v>
      </c>
    </row>
    <row r="25" spans="1:21" x14ac:dyDescent="0.2">
      <c r="A25" s="55" t="s">
        <v>77</v>
      </c>
      <c r="B25" s="56" t="s">
        <v>137</v>
      </c>
      <c r="C25" s="57">
        <v>38255.476000000002</v>
      </c>
      <c r="D25" s="57" t="s">
        <v>39</v>
      </c>
      <c r="E25">
        <f t="shared" si="0"/>
        <v>-1044.9945354389615</v>
      </c>
      <c r="F25">
        <f t="shared" si="1"/>
        <v>-1045</v>
      </c>
      <c r="G25">
        <f t="shared" si="2"/>
        <v>7.4500000009720679E-2</v>
      </c>
      <c r="I25">
        <f>+G25</f>
        <v>7.4500000009720679E-2</v>
      </c>
      <c r="O25">
        <f t="shared" ca="1" si="3"/>
        <v>-5.9129877538594916E-2</v>
      </c>
      <c r="Q25" s="2">
        <f t="shared" si="4"/>
        <v>23236.976000000002</v>
      </c>
    </row>
    <row r="26" spans="1:21" x14ac:dyDescent="0.2">
      <c r="A26" s="55" t="s">
        <v>77</v>
      </c>
      <c r="B26" s="56" t="s">
        <v>137</v>
      </c>
      <c r="C26" s="57">
        <v>38323.332000000002</v>
      </c>
      <c r="D26" s="57" t="s">
        <v>39</v>
      </c>
      <c r="E26">
        <f t="shared" si="0"/>
        <v>-1040.0173105557712</v>
      </c>
      <c r="F26">
        <f t="shared" si="1"/>
        <v>-1040</v>
      </c>
      <c r="G26">
        <f t="shared" si="2"/>
        <v>-0.23599999999714782</v>
      </c>
      <c r="I26">
        <f>+G26</f>
        <v>-0.23599999999714782</v>
      </c>
      <c r="O26">
        <f t="shared" ca="1" si="3"/>
        <v>-5.8101659192297039E-2</v>
      </c>
      <c r="Q26" s="2">
        <f t="shared" si="4"/>
        <v>23304.832000000002</v>
      </c>
    </row>
    <row r="27" spans="1:21" x14ac:dyDescent="0.2">
      <c r="A27" s="55" t="s">
        <v>85</v>
      </c>
      <c r="B27" s="56" t="s">
        <v>137</v>
      </c>
      <c r="C27" s="57">
        <v>38473.625999999997</v>
      </c>
      <c r="D27" s="57" t="s">
        <v>39</v>
      </c>
      <c r="E27">
        <f t="shared" si="0"/>
        <v>-1028.9932738221853</v>
      </c>
      <c r="F27">
        <f t="shared" si="1"/>
        <v>-1029</v>
      </c>
      <c r="G27">
        <f t="shared" si="2"/>
        <v>9.1699999997217674E-2</v>
      </c>
      <c r="I27">
        <f>+G27</f>
        <v>9.1699999997217674E-2</v>
      </c>
      <c r="O27">
        <f t="shared" ca="1" si="3"/>
        <v>-5.5839578830441661E-2</v>
      </c>
      <c r="Q27" s="2">
        <f t="shared" si="4"/>
        <v>23455.125999999997</v>
      </c>
    </row>
    <row r="28" spans="1:21" x14ac:dyDescent="0.2">
      <c r="A28" s="55" t="s">
        <v>85</v>
      </c>
      <c r="B28" s="56" t="s">
        <v>137</v>
      </c>
      <c r="C28" s="57">
        <v>38555.396999999997</v>
      </c>
      <c r="D28" s="57" t="s">
        <v>39</v>
      </c>
      <c r="E28">
        <f t="shared" si="0"/>
        <v>-1022.995386296788</v>
      </c>
      <c r="F28">
        <f t="shared" si="1"/>
        <v>-1023</v>
      </c>
      <c r="G28">
        <f t="shared" si="2"/>
        <v>6.2900000004447065E-2</v>
      </c>
      <c r="I28">
        <f>+G28</f>
        <v>6.2900000004447065E-2</v>
      </c>
      <c r="O28">
        <f t="shared" ca="1" si="3"/>
        <v>-5.4605716814884186E-2</v>
      </c>
      <c r="Q28" s="2">
        <f t="shared" si="4"/>
        <v>23536.896999999997</v>
      </c>
    </row>
    <row r="29" spans="1:21" x14ac:dyDescent="0.2">
      <c r="A29" s="55" t="s">
        <v>85</v>
      </c>
      <c r="B29" s="56" t="s">
        <v>137</v>
      </c>
      <c r="C29" s="57">
        <v>38623.438999999998</v>
      </c>
      <c r="D29" s="57" t="s">
        <v>39</v>
      </c>
      <c r="E29">
        <f t="shared" si="0"/>
        <v>-1018.0045183484555</v>
      </c>
      <c r="F29">
        <f t="shared" si="1"/>
        <v>-1018</v>
      </c>
      <c r="G29">
        <f t="shared" si="2"/>
        <v>-6.160000000090804E-2</v>
      </c>
      <c r="I29">
        <f>+G29</f>
        <v>-6.160000000090804E-2</v>
      </c>
      <c r="O29">
        <f t="shared" ca="1" si="3"/>
        <v>-5.3577498468586282E-2</v>
      </c>
      <c r="Q29" s="2">
        <f t="shared" si="4"/>
        <v>23604.938999999998</v>
      </c>
    </row>
    <row r="30" spans="1:21" x14ac:dyDescent="0.2">
      <c r="A30" s="55" t="s">
        <v>85</v>
      </c>
      <c r="B30" s="56" t="s">
        <v>137</v>
      </c>
      <c r="C30" s="57">
        <v>38882.531999999999</v>
      </c>
      <c r="D30" s="57" t="s">
        <v>39</v>
      </c>
      <c r="E30">
        <f t="shared" si="0"/>
        <v>-999.00009535475624</v>
      </c>
      <c r="F30">
        <f t="shared" si="1"/>
        <v>-999</v>
      </c>
      <c r="G30">
        <f t="shared" si="2"/>
        <v>-1.2999999962630682E-3</v>
      </c>
      <c r="I30">
        <f>+G30</f>
        <v>-1.2999999962630682E-3</v>
      </c>
      <c r="O30">
        <f t="shared" ca="1" si="3"/>
        <v>-4.9670268752654262E-2</v>
      </c>
      <c r="Q30" s="2">
        <f t="shared" si="4"/>
        <v>23864.031999999999</v>
      </c>
    </row>
    <row r="31" spans="1:21" x14ac:dyDescent="0.2">
      <c r="A31" s="55" t="s">
        <v>77</v>
      </c>
      <c r="B31" s="56" t="s">
        <v>137</v>
      </c>
      <c r="C31" s="57">
        <v>38882.582999999999</v>
      </c>
      <c r="D31" s="57" t="s">
        <v>39</v>
      </c>
      <c r="E31">
        <f t="shared" si="0"/>
        <v>-998.99635451431413</v>
      </c>
      <c r="F31">
        <f t="shared" si="1"/>
        <v>-999</v>
      </c>
      <c r="G31">
        <f t="shared" si="2"/>
        <v>4.9700000003213063E-2</v>
      </c>
      <c r="I31">
        <f>+G31</f>
        <v>4.9700000003213063E-2</v>
      </c>
      <c r="O31">
        <f t="shared" ca="1" si="3"/>
        <v>-4.9670268752654262E-2</v>
      </c>
      <c r="Q31" s="2">
        <f t="shared" si="4"/>
        <v>23864.082999999999</v>
      </c>
    </row>
    <row r="32" spans="1:21" x14ac:dyDescent="0.2">
      <c r="A32" s="55" t="s">
        <v>85</v>
      </c>
      <c r="B32" s="56" t="s">
        <v>137</v>
      </c>
      <c r="C32" s="57">
        <v>39918.661999999997</v>
      </c>
      <c r="D32" s="57" t="s">
        <v>39</v>
      </c>
      <c r="E32">
        <f t="shared" si="0"/>
        <v>-923.00015403460645</v>
      </c>
      <c r="F32">
        <f t="shared" si="1"/>
        <v>-923</v>
      </c>
      <c r="G32">
        <f t="shared" si="2"/>
        <v>-2.0999999978812411E-3</v>
      </c>
      <c r="I32">
        <f>+G32</f>
        <v>-2.0999999978812411E-3</v>
      </c>
      <c r="O32">
        <f t="shared" ca="1" si="3"/>
        <v>-3.4041349888926209E-2</v>
      </c>
      <c r="Q32" s="2">
        <f t="shared" si="4"/>
        <v>24900.161999999997</v>
      </c>
    </row>
    <row r="33" spans="1:17" x14ac:dyDescent="0.2">
      <c r="A33" s="55" t="s">
        <v>77</v>
      </c>
      <c r="B33" s="56" t="s">
        <v>137</v>
      </c>
      <c r="C33" s="57">
        <v>40068.453999999998</v>
      </c>
      <c r="D33" s="57" t="s">
        <v>39</v>
      </c>
      <c r="E33">
        <f t="shared" si="0"/>
        <v>-912.01293890694103</v>
      </c>
      <c r="F33">
        <f t="shared" si="1"/>
        <v>-912</v>
      </c>
      <c r="G33">
        <f t="shared" si="2"/>
        <v>-0.17639999999664724</v>
      </c>
      <c r="I33">
        <f>+G33</f>
        <v>-0.17639999999664724</v>
      </c>
      <c r="O33">
        <f t="shared" ca="1" si="3"/>
        <v>-3.177926952707083E-2</v>
      </c>
      <c r="Q33" s="2">
        <f t="shared" si="4"/>
        <v>25049.953999999998</v>
      </c>
    </row>
    <row r="34" spans="1:17" x14ac:dyDescent="0.2">
      <c r="A34" s="55" t="s">
        <v>85</v>
      </c>
      <c r="B34" s="56" t="s">
        <v>137</v>
      </c>
      <c r="C34" s="57">
        <v>40150.322</v>
      </c>
      <c r="D34" s="57" t="s">
        <v>39</v>
      </c>
      <c r="E34">
        <f t="shared" si="0"/>
        <v>-906.00793644972214</v>
      </c>
      <c r="F34">
        <f t="shared" si="1"/>
        <v>-906</v>
      </c>
      <c r="G34">
        <f t="shared" si="2"/>
        <v>-0.1081999999951222</v>
      </c>
      <c r="I34">
        <f>+G34</f>
        <v>-0.1081999999951222</v>
      </c>
      <c r="O34">
        <f t="shared" ca="1" si="3"/>
        <v>-3.0545407511513356E-2</v>
      </c>
      <c r="Q34" s="2">
        <f t="shared" si="4"/>
        <v>25131.822</v>
      </c>
    </row>
    <row r="35" spans="1:17" x14ac:dyDescent="0.2">
      <c r="A35" s="55" t="s">
        <v>85</v>
      </c>
      <c r="B35" s="56" t="s">
        <v>137</v>
      </c>
      <c r="C35" s="57">
        <v>40859.353999999999</v>
      </c>
      <c r="D35" s="57" t="s">
        <v>39</v>
      </c>
      <c r="E35">
        <f t="shared" si="0"/>
        <v>-854.00057212853801</v>
      </c>
      <c r="F35">
        <f t="shared" si="1"/>
        <v>-854</v>
      </c>
      <c r="G35">
        <f t="shared" si="2"/>
        <v>-7.7999999994062819E-3</v>
      </c>
      <c r="I35">
        <f>+G35</f>
        <v>-7.7999999994062819E-3</v>
      </c>
      <c r="O35">
        <f t="shared" ca="1" si="3"/>
        <v>-1.9851936710015228E-2</v>
      </c>
      <c r="Q35" s="2">
        <f t="shared" si="4"/>
        <v>25840.853999999999</v>
      </c>
    </row>
    <row r="36" spans="1:17" x14ac:dyDescent="0.2">
      <c r="A36" s="55" t="s">
        <v>77</v>
      </c>
      <c r="B36" s="56" t="s">
        <v>137</v>
      </c>
      <c r="C36" s="57">
        <v>44090.45</v>
      </c>
      <c r="D36" s="57" t="s">
        <v>39</v>
      </c>
      <c r="E36">
        <f t="shared" si="0"/>
        <v>-617.00028606426906</v>
      </c>
      <c r="F36">
        <f t="shared" si="1"/>
        <v>-617</v>
      </c>
      <c r="G36">
        <f t="shared" si="2"/>
        <v>-3.8999999960651621E-3</v>
      </c>
      <c r="I36">
        <f>+G36</f>
        <v>-3.8999999960651621E-3</v>
      </c>
      <c r="O36">
        <f t="shared" ca="1" si="3"/>
        <v>2.8885612904505142E-2</v>
      </c>
      <c r="Q36" s="2">
        <f t="shared" si="4"/>
        <v>29071.949999999997</v>
      </c>
    </row>
    <row r="37" spans="1:17" x14ac:dyDescent="0.2">
      <c r="A37" s="55" t="s">
        <v>77</v>
      </c>
      <c r="B37" s="56" t="s">
        <v>137</v>
      </c>
      <c r="C37" s="57">
        <v>44090.48</v>
      </c>
      <c r="D37" s="57" t="s">
        <v>39</v>
      </c>
      <c r="E37">
        <f t="shared" si="0"/>
        <v>-616.99808556989092</v>
      </c>
      <c r="F37">
        <f t="shared" si="1"/>
        <v>-617</v>
      </c>
      <c r="G37">
        <f t="shared" si="2"/>
        <v>2.6100000010046642E-2</v>
      </c>
      <c r="I37">
        <f>+G37</f>
        <v>2.6100000010046642E-2</v>
      </c>
      <c r="O37">
        <f t="shared" ca="1" si="3"/>
        <v>2.8885612904505142E-2</v>
      </c>
      <c r="Q37" s="2">
        <f t="shared" si="4"/>
        <v>29071.980000000003</v>
      </c>
    </row>
    <row r="38" spans="1:17" x14ac:dyDescent="0.2">
      <c r="A38" t="s">
        <v>138</v>
      </c>
      <c r="B38" s="3"/>
      <c r="C38" s="8">
        <v>44090.485000000001</v>
      </c>
      <c r="D38" s="8"/>
      <c r="E38">
        <f t="shared" si="0"/>
        <v>-616.99771882082814</v>
      </c>
      <c r="F38">
        <f t="shared" si="1"/>
        <v>-617</v>
      </c>
      <c r="G38">
        <f t="shared" si="2"/>
        <v>3.1100000007427298E-2</v>
      </c>
      <c r="I38">
        <f>+G38</f>
        <v>3.1100000007427298E-2</v>
      </c>
      <c r="O38">
        <f t="shared" ca="1" si="3"/>
        <v>2.8885612904505142E-2</v>
      </c>
      <c r="Q38" s="2">
        <f t="shared" si="4"/>
        <v>29071.985000000001</v>
      </c>
    </row>
    <row r="39" spans="1:17" x14ac:dyDescent="0.2">
      <c r="A39" s="55" t="s">
        <v>77</v>
      </c>
      <c r="B39" s="56" t="s">
        <v>137</v>
      </c>
      <c r="C39" s="57">
        <v>44158.35</v>
      </c>
      <c r="D39" s="57" t="s">
        <v>39</v>
      </c>
      <c r="E39">
        <f t="shared" si="0"/>
        <v>-612.01983378932459</v>
      </c>
      <c r="F39">
        <f t="shared" si="1"/>
        <v>-612</v>
      </c>
      <c r="G39">
        <f t="shared" si="2"/>
        <v>-0.27040000000124564</v>
      </c>
      <c r="I39">
        <f>+G39</f>
        <v>-0.27040000000124564</v>
      </c>
      <c r="O39">
        <f t="shared" ca="1" si="3"/>
        <v>2.9913831250803047E-2</v>
      </c>
      <c r="Q39" s="2">
        <f t="shared" si="4"/>
        <v>29139.85</v>
      </c>
    </row>
    <row r="40" spans="1:17" x14ac:dyDescent="0.2">
      <c r="A40" s="55" t="s">
        <v>77</v>
      </c>
      <c r="B40" s="56" t="s">
        <v>137</v>
      </c>
      <c r="C40" s="57">
        <v>44172.34</v>
      </c>
      <c r="D40" s="57" t="s">
        <v>39</v>
      </c>
      <c r="E40">
        <f t="shared" si="0"/>
        <v>-610.99366991117336</v>
      </c>
      <c r="F40">
        <f t="shared" si="1"/>
        <v>-611</v>
      </c>
      <c r="G40">
        <f t="shared" si="2"/>
        <v>8.6299999995389953E-2</v>
      </c>
      <c r="I40">
        <f>+G40</f>
        <v>8.6299999995389953E-2</v>
      </c>
      <c r="O40">
        <f t="shared" ca="1" si="3"/>
        <v>3.0119474920062617E-2</v>
      </c>
      <c r="Q40" s="2">
        <f t="shared" si="4"/>
        <v>29153.839999999997</v>
      </c>
    </row>
    <row r="41" spans="1:17" x14ac:dyDescent="0.2">
      <c r="A41" s="55" t="s">
        <v>77</v>
      </c>
      <c r="B41" s="56" t="s">
        <v>137</v>
      </c>
      <c r="C41" s="57">
        <v>44172.347000000002</v>
      </c>
      <c r="D41" s="57" t="s">
        <v>39</v>
      </c>
      <c r="E41">
        <f t="shared" si="0"/>
        <v>-610.99315646248488</v>
      </c>
      <c r="F41">
        <f t="shared" si="1"/>
        <v>-611</v>
      </c>
      <c r="G41">
        <f t="shared" si="2"/>
        <v>9.330000000045402E-2</v>
      </c>
      <c r="I41">
        <f>+G41</f>
        <v>9.330000000045402E-2</v>
      </c>
      <c r="O41">
        <f t="shared" ca="1" si="3"/>
        <v>3.0119474920062617E-2</v>
      </c>
      <c r="Q41" s="2">
        <f t="shared" si="4"/>
        <v>29153.847000000002</v>
      </c>
    </row>
    <row r="42" spans="1:17" x14ac:dyDescent="0.2">
      <c r="A42" s="55" t="s">
        <v>77</v>
      </c>
      <c r="B42" s="56" t="s">
        <v>137</v>
      </c>
      <c r="C42" s="57">
        <v>44390.46</v>
      </c>
      <c r="D42" s="57" t="s">
        <v>39</v>
      </c>
      <c r="E42">
        <f t="shared" si="0"/>
        <v>-594.99460878877437</v>
      </c>
      <c r="F42">
        <f t="shared" si="1"/>
        <v>-595</v>
      </c>
      <c r="G42">
        <f t="shared" si="2"/>
        <v>7.3500000005878974E-2</v>
      </c>
      <c r="I42">
        <f>+G42</f>
        <v>7.3500000005878974E-2</v>
      </c>
      <c r="O42">
        <f t="shared" ca="1" si="3"/>
        <v>3.34097736282159E-2</v>
      </c>
      <c r="Q42" s="2">
        <f t="shared" si="4"/>
        <v>29371.96</v>
      </c>
    </row>
    <row r="43" spans="1:17" x14ac:dyDescent="0.2">
      <c r="A43" t="str">
        <f>D7</f>
        <v>Kreiner</v>
      </c>
      <c r="C43" s="8">
        <f>C$7</f>
        <v>52502.2</v>
      </c>
      <c r="D43" s="8" t="s">
        <v>14</v>
      </c>
      <c r="E43">
        <f t="shared" si="0"/>
        <v>0</v>
      </c>
      <c r="F43">
        <f t="shared" si="1"/>
        <v>0</v>
      </c>
      <c r="G43">
        <f t="shared" si="2"/>
        <v>0</v>
      </c>
      <c r="H43">
        <f t="shared" ref="H21:H44" si="5">+G43</f>
        <v>0</v>
      </c>
      <c r="O43">
        <f t="shared" ca="1" si="3"/>
        <v>0.15576775683766578</v>
      </c>
      <c r="Q43" s="2">
        <f t="shared" si="4"/>
        <v>37483.699999999997</v>
      </c>
    </row>
    <row r="44" spans="1:17" x14ac:dyDescent="0.2">
      <c r="A44" s="55" t="s">
        <v>136</v>
      </c>
      <c r="B44" s="56" t="s">
        <v>137</v>
      </c>
      <c r="C44" s="57">
        <v>54697.400900000001</v>
      </c>
      <c r="D44" s="57" t="s">
        <v>39</v>
      </c>
      <c r="E44">
        <f t="shared" si="0"/>
        <v>161.01757461509712</v>
      </c>
      <c r="F44">
        <f t="shared" si="1"/>
        <v>161</v>
      </c>
      <c r="G44">
        <f t="shared" si="2"/>
        <v>0.23960000000079162</v>
      </c>
      <c r="I44">
        <f>+G44</f>
        <v>0.23960000000079162</v>
      </c>
      <c r="O44">
        <f t="shared" ca="1" si="3"/>
        <v>0.18887638758845809</v>
      </c>
      <c r="Q44" s="2">
        <f t="shared" si="4"/>
        <v>39678.900900000001</v>
      </c>
    </row>
    <row r="45" spans="1:17" x14ac:dyDescent="0.2">
      <c r="A45" s="61" t="s">
        <v>139</v>
      </c>
      <c r="B45" s="62" t="s">
        <v>137</v>
      </c>
      <c r="C45" s="63">
        <v>57151.414369999999</v>
      </c>
      <c r="D45" s="63">
        <v>5.9999999999999995E-4</v>
      </c>
      <c r="E45">
        <f t="shared" si="0"/>
        <v>341.01900273594811</v>
      </c>
      <c r="F45">
        <f t="shared" si="1"/>
        <v>341</v>
      </c>
      <c r="G45">
        <f t="shared" si="2"/>
        <v>0.25907000000006519</v>
      </c>
      <c r="K45">
        <f>+G45</f>
        <v>0.25907000000006519</v>
      </c>
      <c r="O45">
        <f t="shared" ca="1" si="3"/>
        <v>0.22589224805518243</v>
      </c>
      <c r="Q45" s="2">
        <f t="shared" si="4"/>
        <v>42132.914369999999</v>
      </c>
    </row>
    <row r="46" spans="1:17" x14ac:dyDescent="0.2">
      <c r="A46" s="58" t="s">
        <v>0</v>
      </c>
      <c r="B46" s="59" t="s">
        <v>137</v>
      </c>
      <c r="C46" s="60">
        <v>57260.486799999999</v>
      </c>
      <c r="D46" s="64">
        <v>6.7999999999999996E-3</v>
      </c>
      <c r="E46">
        <f t="shared" si="0"/>
        <v>349.01944503531803</v>
      </c>
      <c r="F46">
        <f t="shared" si="1"/>
        <v>349</v>
      </c>
      <c r="G46">
        <f t="shared" si="2"/>
        <v>0.26510000000416767</v>
      </c>
      <c r="K46">
        <f>+G46</f>
        <v>0.26510000000416767</v>
      </c>
      <c r="O46">
        <f t="shared" ca="1" si="3"/>
        <v>0.22753739740925905</v>
      </c>
      <c r="Q46" s="2">
        <f t="shared" si="4"/>
        <v>42241.986799999999</v>
      </c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07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opLeftCell="A7" workbookViewId="0">
      <selection activeCell="A11" sqref="A11:D3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42</v>
      </c>
      <c r="I1" s="43" t="s">
        <v>43</v>
      </c>
      <c r="J1" s="44" t="s">
        <v>41</v>
      </c>
    </row>
    <row r="2" spans="1:16" x14ac:dyDescent="0.2">
      <c r="I2" s="45" t="s">
        <v>44</v>
      </c>
      <c r="J2" s="46" t="s">
        <v>40</v>
      </c>
    </row>
    <row r="3" spans="1:16" x14ac:dyDescent="0.2">
      <c r="A3" s="47" t="s">
        <v>45</v>
      </c>
      <c r="I3" s="45" t="s">
        <v>46</v>
      </c>
      <c r="J3" s="46" t="s">
        <v>38</v>
      </c>
    </row>
    <row r="4" spans="1:16" x14ac:dyDescent="0.2">
      <c r="I4" s="45" t="s">
        <v>47</v>
      </c>
      <c r="J4" s="46" t="s">
        <v>38</v>
      </c>
    </row>
    <row r="5" spans="1:16" ht="13.5" thickBot="1" x14ac:dyDescent="0.25">
      <c r="I5" s="48" t="s">
        <v>48</v>
      </c>
      <c r="J5" s="49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32" si="0">P11</f>
        <v> AN 255.425 </v>
      </c>
      <c r="B11" s="3" t="str">
        <f t="shared" ref="B11:B32" si="1">IF(H11=INT(H11),"I","II")</f>
        <v>I</v>
      </c>
      <c r="C11" s="8">
        <f t="shared" ref="C11:C32" si="2">1*G11</f>
        <v>27689.397000000001</v>
      </c>
      <c r="D11" s="10" t="str">
        <f t="shared" ref="D11:D32" si="3">VLOOKUP(F11,I$1:J$5,2,FALSE)</f>
        <v>vis</v>
      </c>
      <c r="E11" s="50">
        <f>VLOOKUP(C11,Active!C$21:E$973,3,FALSE)</f>
        <v>-1820.0144499130802</v>
      </c>
      <c r="F11" s="3" t="s">
        <v>48</v>
      </c>
      <c r="G11" s="10" t="str">
        <f t="shared" ref="G11:G32" si="4">MID(I11,3,LEN(I11)-3)</f>
        <v>27689.397</v>
      </c>
      <c r="H11" s="8">
        <f t="shared" ref="H11:H32" si="5">1*K11</f>
        <v>-1203</v>
      </c>
      <c r="I11" s="51" t="s">
        <v>56</v>
      </c>
      <c r="J11" s="52" t="s">
        <v>57</v>
      </c>
      <c r="K11" s="51">
        <v>-1203</v>
      </c>
      <c r="L11" s="51" t="s">
        <v>58</v>
      </c>
      <c r="M11" s="52" t="s">
        <v>59</v>
      </c>
      <c r="N11" s="52"/>
      <c r="O11" s="53" t="s">
        <v>60</v>
      </c>
      <c r="P11" s="53" t="s">
        <v>61</v>
      </c>
    </row>
    <row r="12" spans="1:16" ht="12.75" customHeight="1" thickBot="1" x14ac:dyDescent="0.25">
      <c r="A12" s="8" t="str">
        <f t="shared" si="0"/>
        <v> PZ 13.303 </v>
      </c>
      <c r="B12" s="3" t="str">
        <f t="shared" si="1"/>
        <v>I</v>
      </c>
      <c r="C12" s="8">
        <f t="shared" si="2"/>
        <v>28725.360000000001</v>
      </c>
      <c r="D12" s="10" t="str">
        <f t="shared" si="3"/>
        <v>vis</v>
      </c>
      <c r="E12" s="50">
        <f>VLOOKUP(C12,Active!C$21:E$973,3,FALSE)</f>
        <v>-1744.0267580116331</v>
      </c>
      <c r="F12" s="3" t="s">
        <v>48</v>
      </c>
      <c r="G12" s="10" t="str">
        <f t="shared" si="4"/>
        <v>28725.360</v>
      </c>
      <c r="H12" s="8">
        <f t="shared" si="5"/>
        <v>-1127</v>
      </c>
      <c r="I12" s="51" t="s">
        <v>62</v>
      </c>
      <c r="J12" s="52" t="s">
        <v>63</v>
      </c>
      <c r="K12" s="51">
        <v>-1127</v>
      </c>
      <c r="L12" s="51" t="s">
        <v>64</v>
      </c>
      <c r="M12" s="52" t="s">
        <v>49</v>
      </c>
      <c r="N12" s="52"/>
      <c r="O12" s="53" t="s">
        <v>65</v>
      </c>
      <c r="P12" s="53" t="s">
        <v>66</v>
      </c>
    </row>
    <row r="13" spans="1:16" ht="12.75" customHeight="1" thickBot="1" x14ac:dyDescent="0.25">
      <c r="A13" s="8" t="str">
        <f t="shared" si="0"/>
        <v> PZ 13.303 </v>
      </c>
      <c r="B13" s="3" t="str">
        <f t="shared" si="1"/>
        <v>I</v>
      </c>
      <c r="C13" s="8">
        <f t="shared" si="2"/>
        <v>29134.462</v>
      </c>
      <c r="D13" s="10" t="str">
        <f t="shared" si="3"/>
        <v>vis</v>
      </c>
      <c r="E13" s="50">
        <f>VLOOKUP(C13,Active!C$21:E$973,3,FALSE)</f>
        <v>-1714.0192029809361</v>
      </c>
      <c r="F13" s="3" t="s">
        <v>48</v>
      </c>
      <c r="G13" s="10" t="str">
        <f t="shared" si="4"/>
        <v>29134.462</v>
      </c>
      <c r="H13" s="8">
        <f t="shared" si="5"/>
        <v>-1097</v>
      </c>
      <c r="I13" s="51" t="s">
        <v>67</v>
      </c>
      <c r="J13" s="52" t="s">
        <v>68</v>
      </c>
      <c r="K13" s="51">
        <v>-1097</v>
      </c>
      <c r="L13" s="51" t="s">
        <v>69</v>
      </c>
      <c r="M13" s="52" t="s">
        <v>49</v>
      </c>
      <c r="N13" s="52"/>
      <c r="O13" s="53" t="s">
        <v>65</v>
      </c>
      <c r="P13" s="53" t="s">
        <v>66</v>
      </c>
    </row>
    <row r="14" spans="1:16" ht="12.75" customHeight="1" thickBot="1" x14ac:dyDescent="0.25">
      <c r="A14" s="8" t="str">
        <f t="shared" si="0"/>
        <v> PZ 13.303 </v>
      </c>
      <c r="B14" s="3" t="str">
        <f t="shared" si="1"/>
        <v>I</v>
      </c>
      <c r="C14" s="8">
        <f t="shared" si="2"/>
        <v>35365.271000000001</v>
      </c>
      <c r="D14" s="10" t="str">
        <f t="shared" si="3"/>
        <v>vis</v>
      </c>
      <c r="E14" s="50">
        <f>VLOOKUP(C14,Active!C$21:E$973,3,FALSE)</f>
        <v>-1256.9905305391942</v>
      </c>
      <c r="F14" s="3" t="s">
        <v>48</v>
      </c>
      <c r="G14" s="10" t="str">
        <f t="shared" si="4"/>
        <v>35365.271</v>
      </c>
      <c r="H14" s="8">
        <f t="shared" si="5"/>
        <v>-640</v>
      </c>
      <c r="I14" s="51" t="s">
        <v>70</v>
      </c>
      <c r="J14" s="52" t="s">
        <v>71</v>
      </c>
      <c r="K14" s="51">
        <v>-640</v>
      </c>
      <c r="L14" s="51" t="s">
        <v>72</v>
      </c>
      <c r="M14" s="52" t="s">
        <v>59</v>
      </c>
      <c r="N14" s="52"/>
      <c r="O14" s="53" t="s">
        <v>65</v>
      </c>
      <c r="P14" s="53" t="s">
        <v>66</v>
      </c>
    </row>
    <row r="15" spans="1:16" ht="12.75" customHeight="1" thickBot="1" x14ac:dyDescent="0.25">
      <c r="A15" s="8" t="str">
        <f t="shared" si="0"/>
        <v> MVS 9.20 </v>
      </c>
      <c r="B15" s="3" t="str">
        <f t="shared" si="1"/>
        <v>I</v>
      </c>
      <c r="C15" s="8">
        <f t="shared" si="2"/>
        <v>38255.476000000002</v>
      </c>
      <c r="D15" s="10" t="str">
        <f t="shared" si="3"/>
        <v>vis</v>
      </c>
      <c r="E15" s="50">
        <f>VLOOKUP(C15,Active!C$21:E$973,3,FALSE)</f>
        <v>-1044.9945354389615</v>
      </c>
      <c r="F15" s="3" t="s">
        <v>48</v>
      </c>
      <c r="G15" s="10" t="str">
        <f t="shared" si="4"/>
        <v>38255.476</v>
      </c>
      <c r="H15" s="8">
        <f t="shared" si="5"/>
        <v>-428</v>
      </c>
      <c r="I15" s="51" t="s">
        <v>73</v>
      </c>
      <c r="J15" s="52" t="s">
        <v>74</v>
      </c>
      <c r="K15" s="51">
        <v>-428</v>
      </c>
      <c r="L15" s="51" t="s">
        <v>75</v>
      </c>
      <c r="M15" s="52" t="s">
        <v>59</v>
      </c>
      <c r="N15" s="52"/>
      <c r="O15" s="53" t="s">
        <v>76</v>
      </c>
      <c r="P15" s="53" t="s">
        <v>77</v>
      </c>
    </row>
    <row r="16" spans="1:16" ht="12.75" customHeight="1" thickBot="1" x14ac:dyDescent="0.25">
      <c r="A16" s="8" t="str">
        <f t="shared" si="0"/>
        <v> MVS 9.20 </v>
      </c>
      <c r="B16" s="3" t="str">
        <f t="shared" si="1"/>
        <v>I</v>
      </c>
      <c r="C16" s="8">
        <f t="shared" si="2"/>
        <v>38323.332000000002</v>
      </c>
      <c r="D16" s="10" t="str">
        <f t="shared" si="3"/>
        <v>vis</v>
      </c>
      <c r="E16" s="50">
        <f>VLOOKUP(C16,Active!C$21:E$973,3,FALSE)</f>
        <v>-1040.0173105557712</v>
      </c>
      <c r="F16" s="3" t="s">
        <v>48</v>
      </c>
      <c r="G16" s="10" t="str">
        <f t="shared" si="4"/>
        <v>38323.332</v>
      </c>
      <c r="H16" s="8">
        <f t="shared" si="5"/>
        <v>-423</v>
      </c>
      <c r="I16" s="51" t="s">
        <v>78</v>
      </c>
      <c r="J16" s="52" t="s">
        <v>79</v>
      </c>
      <c r="K16" s="51">
        <v>-423</v>
      </c>
      <c r="L16" s="51" t="s">
        <v>80</v>
      </c>
      <c r="M16" s="52" t="s">
        <v>59</v>
      </c>
      <c r="N16" s="52"/>
      <c r="O16" s="53" t="s">
        <v>76</v>
      </c>
      <c r="P16" s="53" t="s">
        <v>77</v>
      </c>
    </row>
    <row r="17" spans="1:16" ht="12.75" customHeight="1" thickBot="1" x14ac:dyDescent="0.25">
      <c r="A17" s="8" t="str">
        <f t="shared" si="0"/>
        <v> MVS 8.52 </v>
      </c>
      <c r="B17" s="3" t="str">
        <f t="shared" si="1"/>
        <v>I</v>
      </c>
      <c r="C17" s="8">
        <f t="shared" si="2"/>
        <v>38473.625999999997</v>
      </c>
      <c r="D17" s="10" t="str">
        <f t="shared" si="3"/>
        <v>vis</v>
      </c>
      <c r="E17" s="50">
        <f>VLOOKUP(C17,Active!C$21:E$973,3,FALSE)</f>
        <v>-1028.9932738221853</v>
      </c>
      <c r="F17" s="3" t="s">
        <v>48</v>
      </c>
      <c r="G17" s="10" t="str">
        <f t="shared" si="4"/>
        <v>38473.626</v>
      </c>
      <c r="H17" s="8">
        <f t="shared" si="5"/>
        <v>-412</v>
      </c>
      <c r="I17" s="51" t="s">
        <v>81</v>
      </c>
      <c r="J17" s="52" t="s">
        <v>82</v>
      </c>
      <c r="K17" s="51">
        <v>-412</v>
      </c>
      <c r="L17" s="51" t="s">
        <v>83</v>
      </c>
      <c r="M17" s="52" t="s">
        <v>59</v>
      </c>
      <c r="N17" s="52"/>
      <c r="O17" s="53" t="s">
        <v>84</v>
      </c>
      <c r="P17" s="53" t="s">
        <v>85</v>
      </c>
    </row>
    <row r="18" spans="1:16" ht="12.75" customHeight="1" thickBot="1" x14ac:dyDescent="0.25">
      <c r="A18" s="8" t="str">
        <f t="shared" si="0"/>
        <v> MVS 8.52 </v>
      </c>
      <c r="B18" s="3" t="str">
        <f t="shared" si="1"/>
        <v>I</v>
      </c>
      <c r="C18" s="8">
        <f t="shared" si="2"/>
        <v>38555.396999999997</v>
      </c>
      <c r="D18" s="10" t="str">
        <f t="shared" si="3"/>
        <v>vis</v>
      </c>
      <c r="E18" s="50">
        <f>VLOOKUP(C18,Active!C$21:E$973,3,FALSE)</f>
        <v>-1022.995386296788</v>
      </c>
      <c r="F18" s="3" t="s">
        <v>48</v>
      </c>
      <c r="G18" s="10" t="str">
        <f t="shared" si="4"/>
        <v>38555.397</v>
      </c>
      <c r="H18" s="8">
        <f t="shared" si="5"/>
        <v>-406</v>
      </c>
      <c r="I18" s="51" t="s">
        <v>86</v>
      </c>
      <c r="J18" s="52" t="s">
        <v>87</v>
      </c>
      <c r="K18" s="51">
        <v>-406</v>
      </c>
      <c r="L18" s="51" t="s">
        <v>88</v>
      </c>
      <c r="M18" s="52" t="s">
        <v>59</v>
      </c>
      <c r="N18" s="52"/>
      <c r="O18" s="53" t="s">
        <v>84</v>
      </c>
      <c r="P18" s="53" t="s">
        <v>85</v>
      </c>
    </row>
    <row r="19" spans="1:16" ht="12.75" customHeight="1" thickBot="1" x14ac:dyDescent="0.25">
      <c r="A19" s="8" t="str">
        <f t="shared" si="0"/>
        <v> MVS 8.52 </v>
      </c>
      <c r="B19" s="3" t="str">
        <f t="shared" si="1"/>
        <v>I</v>
      </c>
      <c r="C19" s="8">
        <f t="shared" si="2"/>
        <v>38623.438999999998</v>
      </c>
      <c r="D19" s="10" t="str">
        <f t="shared" si="3"/>
        <v>vis</v>
      </c>
      <c r="E19" s="50">
        <f>VLOOKUP(C19,Active!C$21:E$973,3,FALSE)</f>
        <v>-1018.0045183484555</v>
      </c>
      <c r="F19" s="3" t="s">
        <v>48</v>
      </c>
      <c r="G19" s="10" t="str">
        <f t="shared" si="4"/>
        <v>38623.439</v>
      </c>
      <c r="H19" s="8">
        <f t="shared" si="5"/>
        <v>-401</v>
      </c>
      <c r="I19" s="51" t="s">
        <v>89</v>
      </c>
      <c r="J19" s="52" t="s">
        <v>90</v>
      </c>
      <c r="K19" s="51">
        <v>-401</v>
      </c>
      <c r="L19" s="51" t="s">
        <v>91</v>
      </c>
      <c r="M19" s="52" t="s">
        <v>59</v>
      </c>
      <c r="N19" s="52"/>
      <c r="O19" s="53" t="s">
        <v>84</v>
      </c>
      <c r="P19" s="53" t="s">
        <v>85</v>
      </c>
    </row>
    <row r="20" spans="1:16" ht="12.75" customHeight="1" thickBot="1" x14ac:dyDescent="0.25">
      <c r="A20" s="8" t="str">
        <f t="shared" si="0"/>
        <v> MVS 8.52 </v>
      </c>
      <c r="B20" s="3" t="str">
        <f t="shared" si="1"/>
        <v>I</v>
      </c>
      <c r="C20" s="8">
        <f t="shared" si="2"/>
        <v>38882.531999999999</v>
      </c>
      <c r="D20" s="10" t="str">
        <f t="shared" si="3"/>
        <v>vis</v>
      </c>
      <c r="E20" s="50">
        <f>VLOOKUP(C20,Active!C$21:E$973,3,FALSE)</f>
        <v>-999.00009535475624</v>
      </c>
      <c r="F20" s="3" t="s">
        <v>48</v>
      </c>
      <c r="G20" s="10" t="str">
        <f t="shared" si="4"/>
        <v>38882.532</v>
      </c>
      <c r="H20" s="8">
        <f t="shared" si="5"/>
        <v>-382</v>
      </c>
      <c r="I20" s="51" t="s">
        <v>92</v>
      </c>
      <c r="J20" s="52" t="s">
        <v>93</v>
      </c>
      <c r="K20" s="51">
        <v>-382</v>
      </c>
      <c r="L20" s="51" t="s">
        <v>94</v>
      </c>
      <c r="M20" s="52" t="s">
        <v>59</v>
      </c>
      <c r="N20" s="52"/>
      <c r="O20" s="53" t="s">
        <v>84</v>
      </c>
      <c r="P20" s="53" t="s">
        <v>85</v>
      </c>
    </row>
    <row r="21" spans="1:16" ht="12.75" customHeight="1" thickBot="1" x14ac:dyDescent="0.25">
      <c r="A21" s="8" t="str">
        <f t="shared" si="0"/>
        <v> MVS 9.20 </v>
      </c>
      <c r="B21" s="3" t="str">
        <f t="shared" si="1"/>
        <v>I</v>
      </c>
      <c r="C21" s="8">
        <f t="shared" si="2"/>
        <v>38882.582999999999</v>
      </c>
      <c r="D21" s="10" t="str">
        <f t="shared" si="3"/>
        <v>vis</v>
      </c>
      <c r="E21" s="50">
        <f>VLOOKUP(C21,Active!C$21:E$973,3,FALSE)</f>
        <v>-998.99635451431413</v>
      </c>
      <c r="F21" s="3" t="s">
        <v>48</v>
      </c>
      <c r="G21" s="10" t="str">
        <f t="shared" si="4"/>
        <v>38882.583</v>
      </c>
      <c r="H21" s="8">
        <f t="shared" si="5"/>
        <v>-382</v>
      </c>
      <c r="I21" s="51" t="s">
        <v>95</v>
      </c>
      <c r="J21" s="52" t="s">
        <v>96</v>
      </c>
      <c r="K21" s="51">
        <v>-382</v>
      </c>
      <c r="L21" s="51" t="s">
        <v>97</v>
      </c>
      <c r="M21" s="52" t="s">
        <v>59</v>
      </c>
      <c r="N21" s="52"/>
      <c r="O21" s="53" t="s">
        <v>76</v>
      </c>
      <c r="P21" s="53" t="s">
        <v>77</v>
      </c>
    </row>
    <row r="22" spans="1:16" ht="12.75" customHeight="1" thickBot="1" x14ac:dyDescent="0.25">
      <c r="A22" s="8" t="str">
        <f t="shared" si="0"/>
        <v> MVS 8.52 </v>
      </c>
      <c r="B22" s="3" t="str">
        <f t="shared" si="1"/>
        <v>I</v>
      </c>
      <c r="C22" s="8">
        <f t="shared" si="2"/>
        <v>39918.661999999997</v>
      </c>
      <c r="D22" s="10" t="str">
        <f t="shared" si="3"/>
        <v>vis</v>
      </c>
      <c r="E22" s="50">
        <f>VLOOKUP(C22,Active!C$21:E$973,3,FALSE)</f>
        <v>-923.00015403460645</v>
      </c>
      <c r="F22" s="3" t="s">
        <v>48</v>
      </c>
      <c r="G22" s="10" t="str">
        <f t="shared" si="4"/>
        <v>39918.662</v>
      </c>
      <c r="H22" s="8">
        <f t="shared" si="5"/>
        <v>-306</v>
      </c>
      <c r="I22" s="51" t="s">
        <v>98</v>
      </c>
      <c r="J22" s="52" t="s">
        <v>99</v>
      </c>
      <c r="K22" s="51">
        <v>-306</v>
      </c>
      <c r="L22" s="51" t="s">
        <v>100</v>
      </c>
      <c r="M22" s="52" t="s">
        <v>59</v>
      </c>
      <c r="N22" s="52"/>
      <c r="O22" s="53" t="s">
        <v>84</v>
      </c>
      <c r="P22" s="53" t="s">
        <v>85</v>
      </c>
    </row>
    <row r="23" spans="1:16" ht="12.75" customHeight="1" thickBot="1" x14ac:dyDescent="0.25">
      <c r="A23" s="8" t="str">
        <f t="shared" si="0"/>
        <v> MVS 9.20 </v>
      </c>
      <c r="B23" s="3" t="str">
        <f t="shared" si="1"/>
        <v>I</v>
      </c>
      <c r="C23" s="8">
        <f t="shared" si="2"/>
        <v>40068.453999999998</v>
      </c>
      <c r="D23" s="10" t="str">
        <f t="shared" si="3"/>
        <v>vis</v>
      </c>
      <c r="E23" s="50">
        <f>VLOOKUP(C23,Active!C$21:E$973,3,FALSE)</f>
        <v>-912.01293890694103</v>
      </c>
      <c r="F23" s="3" t="s">
        <v>48</v>
      </c>
      <c r="G23" s="10" t="str">
        <f t="shared" si="4"/>
        <v>40068.454</v>
      </c>
      <c r="H23" s="8">
        <f t="shared" si="5"/>
        <v>-295</v>
      </c>
      <c r="I23" s="51" t="s">
        <v>101</v>
      </c>
      <c r="J23" s="52" t="s">
        <v>102</v>
      </c>
      <c r="K23" s="51">
        <v>-295</v>
      </c>
      <c r="L23" s="51" t="s">
        <v>103</v>
      </c>
      <c r="M23" s="52" t="s">
        <v>59</v>
      </c>
      <c r="N23" s="52"/>
      <c r="O23" s="53" t="s">
        <v>76</v>
      </c>
      <c r="P23" s="53" t="s">
        <v>77</v>
      </c>
    </row>
    <row r="24" spans="1:16" ht="12.75" customHeight="1" thickBot="1" x14ac:dyDescent="0.25">
      <c r="A24" s="8" t="str">
        <f t="shared" si="0"/>
        <v> MVS 8.52 </v>
      </c>
      <c r="B24" s="3" t="str">
        <f t="shared" si="1"/>
        <v>I</v>
      </c>
      <c r="C24" s="8">
        <f t="shared" si="2"/>
        <v>40150.322</v>
      </c>
      <c r="D24" s="10" t="str">
        <f t="shared" si="3"/>
        <v>vis</v>
      </c>
      <c r="E24" s="50">
        <f>VLOOKUP(C24,Active!C$21:E$973,3,FALSE)</f>
        <v>-906.00793644972214</v>
      </c>
      <c r="F24" s="3" t="s">
        <v>48</v>
      </c>
      <c r="G24" s="10" t="str">
        <f t="shared" si="4"/>
        <v>40150.322</v>
      </c>
      <c r="H24" s="8">
        <f t="shared" si="5"/>
        <v>-289</v>
      </c>
      <c r="I24" s="51" t="s">
        <v>104</v>
      </c>
      <c r="J24" s="52" t="s">
        <v>105</v>
      </c>
      <c r="K24" s="51">
        <v>-289</v>
      </c>
      <c r="L24" s="51" t="s">
        <v>106</v>
      </c>
      <c r="M24" s="52" t="s">
        <v>59</v>
      </c>
      <c r="N24" s="52"/>
      <c r="O24" s="53" t="s">
        <v>84</v>
      </c>
      <c r="P24" s="53" t="s">
        <v>85</v>
      </c>
    </row>
    <row r="25" spans="1:16" ht="12.75" customHeight="1" thickBot="1" x14ac:dyDescent="0.25">
      <c r="A25" s="8" t="str">
        <f t="shared" si="0"/>
        <v> MVS 8.52 </v>
      </c>
      <c r="B25" s="3" t="str">
        <f t="shared" si="1"/>
        <v>I</v>
      </c>
      <c r="C25" s="8">
        <f t="shared" si="2"/>
        <v>40859.353999999999</v>
      </c>
      <c r="D25" s="10" t="str">
        <f t="shared" si="3"/>
        <v>vis</v>
      </c>
      <c r="E25" s="50">
        <f>VLOOKUP(C25,Active!C$21:E$973,3,FALSE)</f>
        <v>-854.00057212853801</v>
      </c>
      <c r="F25" s="3" t="s">
        <v>48</v>
      </c>
      <c r="G25" s="10" t="str">
        <f t="shared" si="4"/>
        <v>40859.354</v>
      </c>
      <c r="H25" s="8">
        <f t="shared" si="5"/>
        <v>-237</v>
      </c>
      <c r="I25" s="51" t="s">
        <v>107</v>
      </c>
      <c r="J25" s="52" t="s">
        <v>108</v>
      </c>
      <c r="K25" s="51">
        <v>-237</v>
      </c>
      <c r="L25" s="51" t="s">
        <v>109</v>
      </c>
      <c r="M25" s="52" t="s">
        <v>59</v>
      </c>
      <c r="N25" s="52"/>
      <c r="O25" s="53" t="s">
        <v>84</v>
      </c>
      <c r="P25" s="53" t="s">
        <v>85</v>
      </c>
    </row>
    <row r="26" spans="1:16" ht="12.75" customHeight="1" thickBot="1" x14ac:dyDescent="0.25">
      <c r="A26" s="8" t="str">
        <f t="shared" si="0"/>
        <v> MVS 9.20 </v>
      </c>
      <c r="B26" s="3" t="str">
        <f t="shared" si="1"/>
        <v>I</v>
      </c>
      <c r="C26" s="8">
        <f t="shared" si="2"/>
        <v>44090.45</v>
      </c>
      <c r="D26" s="10" t="str">
        <f t="shared" si="3"/>
        <v>vis</v>
      </c>
      <c r="E26" s="50">
        <f>VLOOKUP(C26,Active!C$21:E$973,3,FALSE)</f>
        <v>-617.00028606426906</v>
      </c>
      <c r="F26" s="3" t="s">
        <v>48</v>
      </c>
      <c r="G26" s="10" t="str">
        <f t="shared" si="4"/>
        <v>44090.45</v>
      </c>
      <c r="H26" s="8">
        <f t="shared" si="5"/>
        <v>0</v>
      </c>
      <c r="I26" s="51" t="s">
        <v>110</v>
      </c>
      <c r="J26" s="52" t="s">
        <v>111</v>
      </c>
      <c r="K26" s="51">
        <v>0</v>
      </c>
      <c r="L26" s="51" t="s">
        <v>112</v>
      </c>
      <c r="M26" s="52" t="s">
        <v>113</v>
      </c>
      <c r="N26" s="52"/>
      <c r="O26" s="53" t="s">
        <v>114</v>
      </c>
      <c r="P26" s="53" t="s">
        <v>77</v>
      </c>
    </row>
    <row r="27" spans="1:16" ht="12.75" customHeight="1" thickBot="1" x14ac:dyDescent="0.25">
      <c r="A27" s="8" t="str">
        <f t="shared" si="0"/>
        <v> MVS 9.20 </v>
      </c>
      <c r="B27" s="3" t="str">
        <f t="shared" si="1"/>
        <v>I</v>
      </c>
      <c r="C27" s="8">
        <f t="shared" si="2"/>
        <v>44090.48</v>
      </c>
      <c r="D27" s="10" t="str">
        <f t="shared" si="3"/>
        <v>vis</v>
      </c>
      <c r="E27" s="50">
        <f>VLOOKUP(C27,Active!C$21:E$973,3,FALSE)</f>
        <v>-616.99808556989092</v>
      </c>
      <c r="F27" s="3" t="s">
        <v>48</v>
      </c>
      <c r="G27" s="10" t="str">
        <f t="shared" si="4"/>
        <v>44090.480</v>
      </c>
      <c r="H27" s="8">
        <f t="shared" si="5"/>
        <v>0</v>
      </c>
      <c r="I27" s="51" t="s">
        <v>115</v>
      </c>
      <c r="J27" s="52" t="s">
        <v>116</v>
      </c>
      <c r="K27" s="51">
        <v>0</v>
      </c>
      <c r="L27" s="51" t="s">
        <v>117</v>
      </c>
      <c r="M27" s="52" t="s">
        <v>113</v>
      </c>
      <c r="N27" s="52"/>
      <c r="O27" s="53" t="s">
        <v>118</v>
      </c>
      <c r="P27" s="53" t="s">
        <v>77</v>
      </c>
    </row>
    <row r="28" spans="1:16" ht="12.75" customHeight="1" thickBot="1" x14ac:dyDescent="0.25">
      <c r="A28" s="8" t="str">
        <f t="shared" si="0"/>
        <v> MVS 9.20 </v>
      </c>
      <c r="B28" s="3" t="str">
        <f t="shared" si="1"/>
        <v>I</v>
      </c>
      <c r="C28" s="8">
        <f t="shared" si="2"/>
        <v>44158.35</v>
      </c>
      <c r="D28" s="10" t="str">
        <f t="shared" si="3"/>
        <v>vis</v>
      </c>
      <c r="E28" s="50">
        <f>VLOOKUP(C28,Active!C$21:E$973,3,FALSE)</f>
        <v>-612.01983378932459</v>
      </c>
      <c r="F28" s="3" t="s">
        <v>48</v>
      </c>
      <c r="G28" s="10" t="str">
        <f t="shared" si="4"/>
        <v>44158.35</v>
      </c>
      <c r="H28" s="8">
        <f t="shared" si="5"/>
        <v>5</v>
      </c>
      <c r="I28" s="51" t="s">
        <v>119</v>
      </c>
      <c r="J28" s="52" t="s">
        <v>120</v>
      </c>
      <c r="K28" s="51">
        <v>5</v>
      </c>
      <c r="L28" s="51" t="s">
        <v>121</v>
      </c>
      <c r="M28" s="52" t="s">
        <v>113</v>
      </c>
      <c r="N28" s="52"/>
      <c r="O28" s="53" t="s">
        <v>114</v>
      </c>
      <c r="P28" s="53" t="s">
        <v>77</v>
      </c>
    </row>
    <row r="29" spans="1:16" ht="12.75" customHeight="1" thickBot="1" x14ac:dyDescent="0.25">
      <c r="A29" s="8" t="str">
        <f t="shared" si="0"/>
        <v> MVS 9.20 </v>
      </c>
      <c r="B29" s="3" t="str">
        <f t="shared" si="1"/>
        <v>I</v>
      </c>
      <c r="C29" s="8">
        <f t="shared" si="2"/>
        <v>44172.34</v>
      </c>
      <c r="D29" s="10" t="str">
        <f t="shared" si="3"/>
        <v>vis</v>
      </c>
      <c r="E29" s="50">
        <f>VLOOKUP(C29,Active!C$21:E$973,3,FALSE)</f>
        <v>-610.99366991117336</v>
      </c>
      <c r="F29" s="3" t="s">
        <v>48</v>
      </c>
      <c r="G29" s="10" t="str">
        <f t="shared" si="4"/>
        <v>44172.34</v>
      </c>
      <c r="H29" s="8">
        <f t="shared" si="5"/>
        <v>6</v>
      </c>
      <c r="I29" s="51" t="s">
        <v>122</v>
      </c>
      <c r="J29" s="52" t="s">
        <v>123</v>
      </c>
      <c r="K29" s="51">
        <v>6</v>
      </c>
      <c r="L29" s="51" t="s">
        <v>124</v>
      </c>
      <c r="M29" s="52" t="s">
        <v>113</v>
      </c>
      <c r="N29" s="52"/>
      <c r="O29" s="53" t="s">
        <v>114</v>
      </c>
      <c r="P29" s="53" t="s">
        <v>77</v>
      </c>
    </row>
    <row r="30" spans="1:16" ht="12.75" customHeight="1" thickBot="1" x14ac:dyDescent="0.25">
      <c r="A30" s="8" t="str">
        <f t="shared" si="0"/>
        <v> MVS 9.20 </v>
      </c>
      <c r="B30" s="3" t="str">
        <f t="shared" si="1"/>
        <v>I</v>
      </c>
      <c r="C30" s="8">
        <f t="shared" si="2"/>
        <v>44172.347000000002</v>
      </c>
      <c r="D30" s="10" t="str">
        <f t="shared" si="3"/>
        <v>vis</v>
      </c>
      <c r="E30" s="50">
        <f>VLOOKUP(C30,Active!C$21:E$973,3,FALSE)</f>
        <v>-610.99315646248488</v>
      </c>
      <c r="F30" s="3" t="s">
        <v>48</v>
      </c>
      <c r="G30" s="10" t="str">
        <f t="shared" si="4"/>
        <v>44172.347</v>
      </c>
      <c r="H30" s="8">
        <f t="shared" si="5"/>
        <v>6</v>
      </c>
      <c r="I30" s="51" t="s">
        <v>125</v>
      </c>
      <c r="J30" s="52" t="s">
        <v>126</v>
      </c>
      <c r="K30" s="51">
        <v>6</v>
      </c>
      <c r="L30" s="51" t="s">
        <v>58</v>
      </c>
      <c r="M30" s="52" t="s">
        <v>113</v>
      </c>
      <c r="N30" s="52"/>
      <c r="O30" s="53" t="s">
        <v>118</v>
      </c>
      <c r="P30" s="53" t="s">
        <v>77</v>
      </c>
    </row>
    <row r="31" spans="1:16" ht="12.75" customHeight="1" thickBot="1" x14ac:dyDescent="0.25">
      <c r="A31" s="8" t="str">
        <f t="shared" si="0"/>
        <v> MVS 9.20 </v>
      </c>
      <c r="B31" s="3" t="str">
        <f t="shared" si="1"/>
        <v>I</v>
      </c>
      <c r="C31" s="8">
        <f t="shared" si="2"/>
        <v>44390.46</v>
      </c>
      <c r="D31" s="10" t="str">
        <f t="shared" si="3"/>
        <v>vis</v>
      </c>
      <c r="E31" s="50">
        <f>VLOOKUP(C31,Active!C$21:E$973,3,FALSE)</f>
        <v>-594.99460878877437</v>
      </c>
      <c r="F31" s="3" t="s">
        <v>48</v>
      </c>
      <c r="G31" s="10" t="str">
        <f t="shared" si="4"/>
        <v>44390.46</v>
      </c>
      <c r="H31" s="8">
        <f t="shared" si="5"/>
        <v>22</v>
      </c>
      <c r="I31" s="51" t="s">
        <v>127</v>
      </c>
      <c r="J31" s="52" t="s">
        <v>128</v>
      </c>
      <c r="K31" s="51">
        <v>22</v>
      </c>
      <c r="L31" s="51" t="s">
        <v>129</v>
      </c>
      <c r="M31" s="52" t="s">
        <v>113</v>
      </c>
      <c r="N31" s="52"/>
      <c r="O31" s="53" t="s">
        <v>114</v>
      </c>
      <c r="P31" s="53" t="s">
        <v>77</v>
      </c>
    </row>
    <row r="32" spans="1:16" ht="12.75" customHeight="1" thickBot="1" x14ac:dyDescent="0.25">
      <c r="A32" s="8" t="str">
        <f t="shared" si="0"/>
        <v>BAVM 203 </v>
      </c>
      <c r="B32" s="3" t="str">
        <f t="shared" si="1"/>
        <v>I</v>
      </c>
      <c r="C32" s="8">
        <f t="shared" si="2"/>
        <v>54697.400900000001</v>
      </c>
      <c r="D32" s="10" t="str">
        <f t="shared" si="3"/>
        <v>vis</v>
      </c>
      <c r="E32" s="50">
        <f>VLOOKUP(C32,Active!C$21:E$973,3,FALSE)</f>
        <v>161.01757461509712</v>
      </c>
      <c r="F32" s="3" t="s">
        <v>48</v>
      </c>
      <c r="G32" s="10" t="str">
        <f t="shared" si="4"/>
        <v>54697.4009</v>
      </c>
      <c r="H32" s="8">
        <f t="shared" si="5"/>
        <v>778</v>
      </c>
      <c r="I32" s="51" t="s">
        <v>130</v>
      </c>
      <c r="J32" s="52" t="s">
        <v>131</v>
      </c>
      <c r="K32" s="51">
        <v>778</v>
      </c>
      <c r="L32" s="51" t="s">
        <v>132</v>
      </c>
      <c r="M32" s="52" t="s">
        <v>133</v>
      </c>
      <c r="N32" s="52" t="s">
        <v>134</v>
      </c>
      <c r="O32" s="53" t="s">
        <v>135</v>
      </c>
      <c r="P32" s="54" t="s">
        <v>136</v>
      </c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</sheetData>
  <phoneticPr fontId="8" type="noConversion"/>
  <hyperlinks>
    <hyperlink ref="A3" r:id="rId1"/>
    <hyperlink ref="P32" r:id="rId2" display="http://www.bav-astro.de/sfs/BAVM_link.php?BAVMnr=20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2024-01-31T03:02:24Z</dcterms:modified>
</cp:coreProperties>
</file>