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B712CA-D671-4F7D-8CD8-6519A5766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9" r:id="rId1"/>
    <sheet name="BAV" sheetId="10" r:id="rId2"/>
  </sheets>
  <calcPr calcId="181029"/>
</workbook>
</file>

<file path=xl/calcChain.xml><?xml version="1.0" encoding="utf-8"?>
<calcChain xmlns="http://schemas.openxmlformats.org/spreadsheetml/2006/main">
  <c r="E95" i="9" l="1"/>
  <c r="F95" i="9" s="1"/>
  <c r="G95" i="9" s="1"/>
  <c r="K95" i="9" s="1"/>
  <c r="Q95" i="9"/>
  <c r="E97" i="9"/>
  <c r="F97" i="9" s="1"/>
  <c r="G97" i="9" s="1"/>
  <c r="K97" i="9" s="1"/>
  <c r="Q97" i="9"/>
  <c r="C7" i="9"/>
  <c r="E100" i="9"/>
  <c r="F100" i="9" s="1"/>
  <c r="G100" i="9" s="1"/>
  <c r="K100" i="9" s="1"/>
  <c r="E93" i="9"/>
  <c r="F93" i="9"/>
  <c r="G93" i="9" s="1"/>
  <c r="K93" i="9" s="1"/>
  <c r="E94" i="9"/>
  <c r="E14" i="10" s="1"/>
  <c r="E96" i="9"/>
  <c r="F96" i="9" s="1"/>
  <c r="G96" i="9" s="1"/>
  <c r="J96" i="9" s="1"/>
  <c r="E98" i="9"/>
  <c r="F98" i="9"/>
  <c r="G98" i="9" s="1"/>
  <c r="J98" i="9" s="1"/>
  <c r="E99" i="9"/>
  <c r="F99" i="9" s="1"/>
  <c r="G99" i="9" s="1"/>
  <c r="J99" i="9" s="1"/>
  <c r="D9" i="9"/>
  <c r="C9" i="9"/>
  <c r="Q100" i="9"/>
  <c r="E22" i="9"/>
  <c r="F22" i="9" s="1"/>
  <c r="G22" i="9" s="1"/>
  <c r="E23" i="9"/>
  <c r="F23" i="9"/>
  <c r="G23" i="9"/>
  <c r="E24" i="9"/>
  <c r="F24" i="9" s="1"/>
  <c r="G24" i="9" s="1"/>
  <c r="E25" i="9"/>
  <c r="F25" i="9"/>
  <c r="G25" i="9" s="1"/>
  <c r="E26" i="9"/>
  <c r="F26" i="9"/>
  <c r="G26" i="9" s="1"/>
  <c r="E27" i="9"/>
  <c r="F27" i="9" s="1"/>
  <c r="G27" i="9" s="1"/>
  <c r="E28" i="9"/>
  <c r="F28" i="9"/>
  <c r="G28" i="9"/>
  <c r="I28" i="9" s="1"/>
  <c r="E29" i="9"/>
  <c r="F29" i="9" s="1"/>
  <c r="G29" i="9" s="1"/>
  <c r="E30" i="9"/>
  <c r="F30" i="9"/>
  <c r="G30" i="9" s="1"/>
  <c r="E31" i="9"/>
  <c r="E27" i="10" s="1"/>
  <c r="E32" i="9"/>
  <c r="F32" i="9" s="1"/>
  <c r="G32" i="9" s="1"/>
  <c r="E33" i="9"/>
  <c r="F33" i="9"/>
  <c r="G33" i="9"/>
  <c r="I33" i="9" s="1"/>
  <c r="E34" i="9"/>
  <c r="F34" i="9" s="1"/>
  <c r="G34" i="9" s="1"/>
  <c r="E35" i="9"/>
  <c r="F35" i="9" s="1"/>
  <c r="G35" i="9" s="1"/>
  <c r="E36" i="9"/>
  <c r="E32" i="10" s="1"/>
  <c r="E37" i="9"/>
  <c r="F37" i="9" s="1"/>
  <c r="G37" i="9" s="1"/>
  <c r="E38" i="9"/>
  <c r="F38" i="9"/>
  <c r="G38" i="9"/>
  <c r="R38" i="9" s="1"/>
  <c r="E39" i="9"/>
  <c r="F39" i="9" s="1"/>
  <c r="G39" i="9" s="1"/>
  <c r="E40" i="9"/>
  <c r="F40" i="9" s="1"/>
  <c r="G40" i="9" s="1"/>
  <c r="E41" i="9"/>
  <c r="E37" i="10" s="1"/>
  <c r="E42" i="9"/>
  <c r="F42" i="9" s="1"/>
  <c r="G42" i="9" s="1"/>
  <c r="E43" i="9"/>
  <c r="F43" i="9"/>
  <c r="G43" i="9" s="1"/>
  <c r="E44" i="9"/>
  <c r="F44" i="9" s="1"/>
  <c r="G44" i="9" s="1"/>
  <c r="E45" i="9"/>
  <c r="F45" i="9" s="1"/>
  <c r="G45" i="9" s="1"/>
  <c r="E46" i="9"/>
  <c r="E42" i="10" s="1"/>
  <c r="E47" i="9"/>
  <c r="F47" i="9"/>
  <c r="G47" i="9" s="1"/>
  <c r="E48" i="9"/>
  <c r="F48" i="9"/>
  <c r="G48" i="9" s="1"/>
  <c r="E49" i="9"/>
  <c r="F49" i="9" s="1"/>
  <c r="G49" i="9" s="1"/>
  <c r="E50" i="9"/>
  <c r="F50" i="9" s="1"/>
  <c r="G50" i="9" s="1"/>
  <c r="E51" i="9"/>
  <c r="F51" i="9" s="1"/>
  <c r="G51" i="9" s="1"/>
  <c r="E52" i="9"/>
  <c r="F52" i="9"/>
  <c r="G52" i="9" s="1"/>
  <c r="E53" i="9"/>
  <c r="F53" i="9"/>
  <c r="G53" i="9" s="1"/>
  <c r="E54" i="9"/>
  <c r="F54" i="9" s="1"/>
  <c r="G54" i="9" s="1"/>
  <c r="E55" i="9"/>
  <c r="F55" i="9"/>
  <c r="G55" i="9"/>
  <c r="I55" i="9" s="1"/>
  <c r="E56" i="9"/>
  <c r="F56" i="9" s="1"/>
  <c r="G56" i="9" s="1"/>
  <c r="E57" i="9"/>
  <c r="F57" i="9"/>
  <c r="G57" i="9" s="1"/>
  <c r="E58" i="9"/>
  <c r="F58" i="9"/>
  <c r="G58" i="9" s="1"/>
  <c r="E59" i="9"/>
  <c r="F59" i="9"/>
  <c r="G59" i="9"/>
  <c r="I59" i="9" s="1"/>
  <c r="E60" i="9"/>
  <c r="F60" i="9"/>
  <c r="G60" i="9"/>
  <c r="I60" i="9" s="1"/>
  <c r="E61" i="9"/>
  <c r="F61" i="9" s="1"/>
  <c r="G61" i="9" s="1"/>
  <c r="E62" i="9"/>
  <c r="F62" i="9"/>
  <c r="G62" i="9" s="1"/>
  <c r="E63" i="9"/>
  <c r="E59" i="10" s="1"/>
  <c r="E64" i="9"/>
  <c r="F64" i="9"/>
  <c r="G64" i="9"/>
  <c r="E65" i="9"/>
  <c r="F65" i="9"/>
  <c r="G65" i="9"/>
  <c r="R65" i="9" s="1"/>
  <c r="E66" i="9"/>
  <c r="F66" i="9" s="1"/>
  <c r="G66" i="9" s="1"/>
  <c r="E67" i="9"/>
  <c r="F67" i="9" s="1"/>
  <c r="G67" i="9" s="1"/>
  <c r="E68" i="9"/>
  <c r="E64" i="10" s="1"/>
  <c r="E69" i="9"/>
  <c r="F69" i="9"/>
  <c r="G69" i="9"/>
  <c r="E70" i="9"/>
  <c r="F70" i="9"/>
  <c r="G70" i="9"/>
  <c r="R70" i="9" s="1"/>
  <c r="E71" i="9"/>
  <c r="F71" i="9" s="1"/>
  <c r="G71" i="9" s="1"/>
  <c r="E72" i="9"/>
  <c r="F72" i="9" s="1"/>
  <c r="G72" i="9" s="1"/>
  <c r="E73" i="9"/>
  <c r="E69" i="10" s="1"/>
  <c r="E74" i="9"/>
  <c r="F74" i="9"/>
  <c r="G74" i="9"/>
  <c r="R74" i="9" s="1"/>
  <c r="E75" i="9"/>
  <c r="F75" i="9"/>
  <c r="G75" i="9" s="1"/>
  <c r="E76" i="9"/>
  <c r="F76" i="9" s="1"/>
  <c r="G76" i="9" s="1"/>
  <c r="E77" i="9"/>
  <c r="F77" i="9" s="1"/>
  <c r="G77" i="9" s="1"/>
  <c r="E78" i="9"/>
  <c r="E74" i="10" s="1"/>
  <c r="E79" i="9"/>
  <c r="F79" i="9"/>
  <c r="G79" i="9" s="1"/>
  <c r="E80" i="9"/>
  <c r="F80" i="9"/>
  <c r="G80" i="9" s="1"/>
  <c r="E81" i="9"/>
  <c r="F81" i="9" s="1"/>
  <c r="G81" i="9" s="1"/>
  <c r="E82" i="9"/>
  <c r="E78" i="10" s="1"/>
  <c r="E83" i="9"/>
  <c r="F83" i="9" s="1"/>
  <c r="G83" i="9" s="1"/>
  <c r="E84" i="9"/>
  <c r="F84" i="9"/>
  <c r="G84" i="9" s="1"/>
  <c r="E85" i="9"/>
  <c r="F85" i="9"/>
  <c r="G85" i="9" s="1"/>
  <c r="E86" i="9"/>
  <c r="F86" i="9" s="1"/>
  <c r="G86" i="9" s="1"/>
  <c r="E87" i="9"/>
  <c r="F87" i="9"/>
  <c r="G87" i="9"/>
  <c r="I87" i="9" s="1"/>
  <c r="E88" i="9"/>
  <c r="F88" i="9" s="1"/>
  <c r="G88" i="9" s="1"/>
  <c r="E90" i="9"/>
  <c r="F90" i="9"/>
  <c r="G90" i="9" s="1"/>
  <c r="E89" i="9"/>
  <c r="F89" i="9"/>
  <c r="G89" i="9" s="1"/>
  <c r="E91" i="9"/>
  <c r="F91" i="9" s="1"/>
  <c r="G91" i="9" s="1"/>
  <c r="E92" i="9"/>
  <c r="F92" i="9" s="1"/>
  <c r="G92" i="9" s="1"/>
  <c r="I92" i="9" s="1"/>
  <c r="E21" i="9"/>
  <c r="F21" i="9" s="1"/>
  <c r="G21" i="9" s="1"/>
  <c r="H21" i="9" s="1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90" i="9"/>
  <c r="Q93" i="9"/>
  <c r="G17" i="10"/>
  <c r="C17" i="10"/>
  <c r="E17" i="10"/>
  <c r="G16" i="10"/>
  <c r="C16" i="10"/>
  <c r="E16" i="10"/>
  <c r="G15" i="10"/>
  <c r="C15" i="10"/>
  <c r="E15" i="10"/>
  <c r="G14" i="10"/>
  <c r="C14" i="10"/>
  <c r="G86" i="10"/>
  <c r="C86" i="10"/>
  <c r="E86" i="10"/>
  <c r="G13" i="10"/>
  <c r="C13" i="10"/>
  <c r="E13" i="10"/>
  <c r="G12" i="10"/>
  <c r="C12" i="10"/>
  <c r="E12" i="10"/>
  <c r="G85" i="10"/>
  <c r="C85" i="10"/>
  <c r="E85" i="10"/>
  <c r="G11" i="10"/>
  <c r="C11" i="10"/>
  <c r="E11" i="10"/>
  <c r="G84" i="10"/>
  <c r="C84" i="10"/>
  <c r="E84" i="10"/>
  <c r="G83" i="10"/>
  <c r="C83" i="10"/>
  <c r="E83" i="10"/>
  <c r="G82" i="10"/>
  <c r="C82" i="10"/>
  <c r="E82" i="10"/>
  <c r="G81" i="10"/>
  <c r="C81" i="10"/>
  <c r="E81" i="10"/>
  <c r="G80" i="10"/>
  <c r="C80" i="10"/>
  <c r="E80" i="10"/>
  <c r="G79" i="10"/>
  <c r="C79" i="10"/>
  <c r="E79" i="10"/>
  <c r="G78" i="10"/>
  <c r="C78" i="10"/>
  <c r="G77" i="10"/>
  <c r="C77" i="10"/>
  <c r="E77" i="10"/>
  <c r="G76" i="10"/>
  <c r="C76" i="10"/>
  <c r="E76" i="10"/>
  <c r="G75" i="10"/>
  <c r="C75" i="10"/>
  <c r="E75" i="10"/>
  <c r="G74" i="10"/>
  <c r="C74" i="10"/>
  <c r="G73" i="10"/>
  <c r="C73" i="10"/>
  <c r="E73" i="10"/>
  <c r="G72" i="10"/>
  <c r="C72" i="10"/>
  <c r="E72" i="10"/>
  <c r="G71" i="10"/>
  <c r="C71" i="10"/>
  <c r="E71" i="10"/>
  <c r="G70" i="10"/>
  <c r="C70" i="10"/>
  <c r="E70" i="10"/>
  <c r="G69" i="10"/>
  <c r="C69" i="10"/>
  <c r="G68" i="10"/>
  <c r="C68" i="10"/>
  <c r="E68" i="10"/>
  <c r="G67" i="10"/>
  <c r="C67" i="10"/>
  <c r="E67" i="10"/>
  <c r="G66" i="10"/>
  <c r="C66" i="10"/>
  <c r="E66" i="10"/>
  <c r="G65" i="10"/>
  <c r="C65" i="10"/>
  <c r="E65" i="10"/>
  <c r="G64" i="10"/>
  <c r="C64" i="10"/>
  <c r="G63" i="10"/>
  <c r="C63" i="10"/>
  <c r="E63" i="10"/>
  <c r="G62" i="10"/>
  <c r="C62" i="10"/>
  <c r="E62" i="10"/>
  <c r="G61" i="10"/>
  <c r="C61" i="10"/>
  <c r="E61" i="10"/>
  <c r="G60" i="10"/>
  <c r="C60" i="10"/>
  <c r="E60" i="10"/>
  <c r="G59" i="10"/>
  <c r="C59" i="10"/>
  <c r="G58" i="10"/>
  <c r="C58" i="10"/>
  <c r="E58" i="10"/>
  <c r="G57" i="10"/>
  <c r="C57" i="10"/>
  <c r="E57" i="10"/>
  <c r="G56" i="10"/>
  <c r="C56" i="10"/>
  <c r="E56" i="10"/>
  <c r="G55" i="10"/>
  <c r="C55" i="10"/>
  <c r="E55" i="10"/>
  <c r="G54" i="10"/>
  <c r="C54" i="10"/>
  <c r="E54" i="10"/>
  <c r="G53" i="10"/>
  <c r="C53" i="10"/>
  <c r="E53" i="10"/>
  <c r="G52" i="10"/>
  <c r="C52" i="10"/>
  <c r="E52" i="10"/>
  <c r="G51" i="10"/>
  <c r="C51" i="10"/>
  <c r="E51" i="10"/>
  <c r="G50" i="10"/>
  <c r="C50" i="10"/>
  <c r="E50" i="10"/>
  <c r="G49" i="10"/>
  <c r="C49" i="10"/>
  <c r="E49" i="10"/>
  <c r="G48" i="10"/>
  <c r="C48" i="10"/>
  <c r="E48" i="10"/>
  <c r="G47" i="10"/>
  <c r="C47" i="10"/>
  <c r="E47" i="10"/>
  <c r="G46" i="10"/>
  <c r="C46" i="10"/>
  <c r="E46" i="10"/>
  <c r="G45" i="10"/>
  <c r="C45" i="10"/>
  <c r="E45" i="10"/>
  <c r="G44" i="10"/>
  <c r="C44" i="10"/>
  <c r="E44" i="10"/>
  <c r="G43" i="10"/>
  <c r="C43" i="10"/>
  <c r="E43" i="10"/>
  <c r="G42" i="10"/>
  <c r="C42" i="10"/>
  <c r="G41" i="10"/>
  <c r="C41" i="10"/>
  <c r="E41" i="10"/>
  <c r="G40" i="10"/>
  <c r="C40" i="10"/>
  <c r="E40" i="10"/>
  <c r="G39" i="10"/>
  <c r="C39" i="10"/>
  <c r="E39" i="10"/>
  <c r="G38" i="10"/>
  <c r="C38" i="10"/>
  <c r="E38" i="10"/>
  <c r="G37" i="10"/>
  <c r="C37" i="10"/>
  <c r="G36" i="10"/>
  <c r="C36" i="10"/>
  <c r="E36" i="10"/>
  <c r="G35" i="10"/>
  <c r="C35" i="10"/>
  <c r="E35" i="10"/>
  <c r="G34" i="10"/>
  <c r="C34" i="10"/>
  <c r="E34" i="10"/>
  <c r="G33" i="10"/>
  <c r="C33" i="10"/>
  <c r="E33" i="10"/>
  <c r="G32" i="10"/>
  <c r="C32" i="10"/>
  <c r="G31" i="10"/>
  <c r="C31" i="10"/>
  <c r="E31" i="10"/>
  <c r="G30" i="10"/>
  <c r="C30" i="10"/>
  <c r="E30" i="10"/>
  <c r="G29" i="10"/>
  <c r="C29" i="10"/>
  <c r="E29" i="10"/>
  <c r="G28" i="10"/>
  <c r="C28" i="10"/>
  <c r="E28" i="10"/>
  <c r="G27" i="10"/>
  <c r="C27" i="10"/>
  <c r="G26" i="10"/>
  <c r="C26" i="10"/>
  <c r="E26" i="10"/>
  <c r="G25" i="10"/>
  <c r="C25" i="10"/>
  <c r="E25" i="10"/>
  <c r="G24" i="10"/>
  <c r="C24" i="10"/>
  <c r="E24" i="10"/>
  <c r="G23" i="10"/>
  <c r="C23" i="10"/>
  <c r="E23" i="10"/>
  <c r="G22" i="10"/>
  <c r="C22" i="10"/>
  <c r="E22" i="10"/>
  <c r="G21" i="10"/>
  <c r="C21" i="10"/>
  <c r="E21" i="10"/>
  <c r="G20" i="10"/>
  <c r="C20" i="10"/>
  <c r="E20" i="10"/>
  <c r="G19" i="10"/>
  <c r="C19" i="10"/>
  <c r="E19" i="10"/>
  <c r="G18" i="10"/>
  <c r="C18" i="10"/>
  <c r="E18" i="10"/>
  <c r="H17" i="10"/>
  <c r="D17" i="10"/>
  <c r="B17" i="10"/>
  <c r="A17" i="10"/>
  <c r="H16" i="10"/>
  <c r="D16" i="10"/>
  <c r="B16" i="10"/>
  <c r="A16" i="10"/>
  <c r="H15" i="10"/>
  <c r="D15" i="10"/>
  <c r="B15" i="10"/>
  <c r="A15" i="10"/>
  <c r="H14" i="10"/>
  <c r="D14" i="10"/>
  <c r="B14" i="10"/>
  <c r="A14" i="10"/>
  <c r="H86" i="10"/>
  <c r="F86" i="10"/>
  <c r="D86" i="10"/>
  <c r="B86" i="10"/>
  <c r="A86" i="10"/>
  <c r="H13" i="10"/>
  <c r="B13" i="10"/>
  <c r="F13" i="10"/>
  <c r="D13" i="10"/>
  <c r="A13" i="10"/>
  <c r="H12" i="10"/>
  <c r="B12" i="10"/>
  <c r="F12" i="10"/>
  <c r="D12" i="10"/>
  <c r="A12" i="10"/>
  <c r="H85" i="10"/>
  <c r="B85" i="10"/>
  <c r="F85" i="10"/>
  <c r="D85" i="10"/>
  <c r="A85" i="10"/>
  <c r="H11" i="10"/>
  <c r="F11" i="10"/>
  <c r="D11" i="10"/>
  <c r="B11" i="10"/>
  <c r="A11" i="10"/>
  <c r="H84" i="10"/>
  <c r="D84" i="10"/>
  <c r="B84" i="10"/>
  <c r="A84" i="10"/>
  <c r="H83" i="10"/>
  <c r="D83" i="10"/>
  <c r="B83" i="10"/>
  <c r="A83" i="10"/>
  <c r="H82" i="10"/>
  <c r="D82" i="10"/>
  <c r="B82" i="10"/>
  <c r="A82" i="10"/>
  <c r="H81" i="10"/>
  <c r="D81" i="10"/>
  <c r="B81" i="10"/>
  <c r="A81" i="10"/>
  <c r="H80" i="10"/>
  <c r="D80" i="10"/>
  <c r="B80" i="10"/>
  <c r="A80" i="10"/>
  <c r="H79" i="10"/>
  <c r="D79" i="10"/>
  <c r="B79" i="10"/>
  <c r="A79" i="10"/>
  <c r="H78" i="10"/>
  <c r="D78" i="10"/>
  <c r="B78" i="10"/>
  <c r="A78" i="10"/>
  <c r="H77" i="10"/>
  <c r="D77" i="10"/>
  <c r="B77" i="10"/>
  <c r="A77" i="10"/>
  <c r="H76" i="10"/>
  <c r="D76" i="10"/>
  <c r="B76" i="10"/>
  <c r="A76" i="10"/>
  <c r="H75" i="10"/>
  <c r="D75" i="10"/>
  <c r="B75" i="10"/>
  <c r="A75" i="10"/>
  <c r="H74" i="10"/>
  <c r="D74" i="10"/>
  <c r="B74" i="10"/>
  <c r="A74" i="10"/>
  <c r="H73" i="10"/>
  <c r="D73" i="10"/>
  <c r="B73" i="10"/>
  <c r="A73" i="10"/>
  <c r="H72" i="10"/>
  <c r="D72" i="10"/>
  <c r="B72" i="10"/>
  <c r="A72" i="10"/>
  <c r="H71" i="10"/>
  <c r="D71" i="10"/>
  <c r="B71" i="10"/>
  <c r="A71" i="10"/>
  <c r="H70" i="10"/>
  <c r="D70" i="10"/>
  <c r="B70" i="10"/>
  <c r="A70" i="10"/>
  <c r="H69" i="10"/>
  <c r="D69" i="10"/>
  <c r="B69" i="10"/>
  <c r="A69" i="10"/>
  <c r="H68" i="10"/>
  <c r="D68" i="10"/>
  <c r="B68" i="10"/>
  <c r="A68" i="10"/>
  <c r="H67" i="10"/>
  <c r="D67" i="10"/>
  <c r="B67" i="10"/>
  <c r="A67" i="10"/>
  <c r="H66" i="10"/>
  <c r="D66" i="10"/>
  <c r="B66" i="10"/>
  <c r="A66" i="10"/>
  <c r="H65" i="10"/>
  <c r="D65" i="10"/>
  <c r="B65" i="10"/>
  <c r="A65" i="10"/>
  <c r="H64" i="10"/>
  <c r="D64" i="10"/>
  <c r="B64" i="10"/>
  <c r="A64" i="10"/>
  <c r="H63" i="10"/>
  <c r="D63" i="10"/>
  <c r="B63" i="10"/>
  <c r="A63" i="10"/>
  <c r="H62" i="10"/>
  <c r="D62" i="10"/>
  <c r="B62" i="10"/>
  <c r="A62" i="10"/>
  <c r="H61" i="10"/>
  <c r="D61" i="10"/>
  <c r="B61" i="10"/>
  <c r="A61" i="10"/>
  <c r="H60" i="10"/>
  <c r="D60" i="10"/>
  <c r="B60" i="10"/>
  <c r="A60" i="10"/>
  <c r="H59" i="10"/>
  <c r="D59" i="10"/>
  <c r="B59" i="10"/>
  <c r="A59" i="10"/>
  <c r="H58" i="10"/>
  <c r="D58" i="10"/>
  <c r="B58" i="10"/>
  <c r="A58" i="10"/>
  <c r="H57" i="10"/>
  <c r="D57" i="10"/>
  <c r="B57" i="10"/>
  <c r="A57" i="10"/>
  <c r="H56" i="10"/>
  <c r="D56" i="10"/>
  <c r="B56" i="10"/>
  <c r="A56" i="10"/>
  <c r="H55" i="10"/>
  <c r="D55" i="10"/>
  <c r="B55" i="10"/>
  <c r="A55" i="10"/>
  <c r="H54" i="10"/>
  <c r="D54" i="10"/>
  <c r="B54" i="10"/>
  <c r="A54" i="10"/>
  <c r="H53" i="10"/>
  <c r="D53" i="10"/>
  <c r="B53" i="10"/>
  <c r="A53" i="10"/>
  <c r="H52" i="10"/>
  <c r="D52" i="10"/>
  <c r="B52" i="10"/>
  <c r="A52" i="10"/>
  <c r="H51" i="10"/>
  <c r="D51" i="10"/>
  <c r="B51" i="10"/>
  <c r="A51" i="10"/>
  <c r="H50" i="10"/>
  <c r="D50" i="10"/>
  <c r="B50" i="10"/>
  <c r="A50" i="10"/>
  <c r="H49" i="10"/>
  <c r="D49" i="10"/>
  <c r="B49" i="10"/>
  <c r="A49" i="10"/>
  <c r="H48" i="10"/>
  <c r="D48" i="10"/>
  <c r="B48" i="10"/>
  <c r="A48" i="10"/>
  <c r="H47" i="10"/>
  <c r="D47" i="10"/>
  <c r="B47" i="10"/>
  <c r="A47" i="10"/>
  <c r="H46" i="10"/>
  <c r="D46" i="10"/>
  <c r="B46" i="10"/>
  <c r="A46" i="10"/>
  <c r="H45" i="10"/>
  <c r="D45" i="10"/>
  <c r="B45" i="10"/>
  <c r="A45" i="10"/>
  <c r="H44" i="10"/>
  <c r="D44" i="10"/>
  <c r="B44" i="10"/>
  <c r="A44" i="10"/>
  <c r="H43" i="10"/>
  <c r="D43" i="10"/>
  <c r="B43" i="10"/>
  <c r="A43" i="10"/>
  <c r="H42" i="10"/>
  <c r="D42" i="10"/>
  <c r="B42" i="10"/>
  <c r="A42" i="10"/>
  <c r="H41" i="10"/>
  <c r="D41" i="10"/>
  <c r="B41" i="10"/>
  <c r="A41" i="10"/>
  <c r="H40" i="10"/>
  <c r="D40" i="10"/>
  <c r="B40" i="10"/>
  <c r="A40" i="10"/>
  <c r="H39" i="10"/>
  <c r="D39" i="10"/>
  <c r="B39" i="10"/>
  <c r="A39" i="10"/>
  <c r="H38" i="10"/>
  <c r="D38" i="10"/>
  <c r="B38" i="10"/>
  <c r="A38" i="10"/>
  <c r="H37" i="10"/>
  <c r="D37" i="10"/>
  <c r="B37" i="10"/>
  <c r="A37" i="10"/>
  <c r="H36" i="10"/>
  <c r="D36" i="10"/>
  <c r="B36" i="10"/>
  <c r="A36" i="10"/>
  <c r="H35" i="10"/>
  <c r="D35" i="10"/>
  <c r="B35" i="10"/>
  <c r="A35" i="10"/>
  <c r="H34" i="10"/>
  <c r="D34" i="10"/>
  <c r="B34" i="10"/>
  <c r="A34" i="10"/>
  <c r="H33" i="10"/>
  <c r="D33" i="10"/>
  <c r="B33" i="10"/>
  <c r="A33" i="10"/>
  <c r="H32" i="10"/>
  <c r="D32" i="10"/>
  <c r="B32" i="10"/>
  <c r="A32" i="10"/>
  <c r="H31" i="10"/>
  <c r="D31" i="10"/>
  <c r="B31" i="10"/>
  <c r="A31" i="10"/>
  <c r="H30" i="10"/>
  <c r="D30" i="10"/>
  <c r="B30" i="10"/>
  <c r="A30" i="10"/>
  <c r="H29" i="10"/>
  <c r="D29" i="10"/>
  <c r="B29" i="10"/>
  <c r="A29" i="10"/>
  <c r="H28" i="10"/>
  <c r="D28" i="10"/>
  <c r="B28" i="10"/>
  <c r="A28" i="10"/>
  <c r="H27" i="10"/>
  <c r="D27" i="10"/>
  <c r="B27" i="10"/>
  <c r="A27" i="10"/>
  <c r="H26" i="10"/>
  <c r="D26" i="10"/>
  <c r="B26" i="10"/>
  <c r="A26" i="10"/>
  <c r="H25" i="10"/>
  <c r="D25" i="10"/>
  <c r="B25" i="10"/>
  <c r="A25" i="10"/>
  <c r="H24" i="10"/>
  <c r="D24" i="10"/>
  <c r="B24" i="10"/>
  <c r="A24" i="10"/>
  <c r="H23" i="10"/>
  <c r="D23" i="10"/>
  <c r="B23" i="10"/>
  <c r="A23" i="10"/>
  <c r="H22" i="10"/>
  <c r="D22" i="10"/>
  <c r="B22" i="10"/>
  <c r="A22" i="10"/>
  <c r="H21" i="10"/>
  <c r="D21" i="10"/>
  <c r="B21" i="10"/>
  <c r="A21" i="10"/>
  <c r="H20" i="10"/>
  <c r="D20" i="10"/>
  <c r="B20" i="10"/>
  <c r="A20" i="10"/>
  <c r="H19" i="10"/>
  <c r="D19" i="10"/>
  <c r="B19" i="10"/>
  <c r="A19" i="10"/>
  <c r="H18" i="10"/>
  <c r="D18" i="10"/>
  <c r="B18" i="10"/>
  <c r="A18" i="10"/>
  <c r="Q94" i="9"/>
  <c r="Q96" i="9"/>
  <c r="Q99" i="9"/>
  <c r="F16" i="9"/>
  <c r="C17" i="9"/>
  <c r="Q21" i="9"/>
  <c r="Q89" i="9"/>
  <c r="Q91" i="9"/>
  <c r="Q92" i="9"/>
  <c r="Q98" i="9"/>
  <c r="I69" i="9"/>
  <c r="R69" i="9"/>
  <c r="R28" i="9"/>
  <c r="I64" i="9"/>
  <c r="R64" i="9"/>
  <c r="R87" i="9"/>
  <c r="R55" i="9"/>
  <c r="R23" i="9"/>
  <c r="I23" i="9"/>
  <c r="I74" i="9"/>
  <c r="C12" i="9"/>
  <c r="C11" i="9"/>
  <c r="I76" i="9" l="1"/>
  <c r="R76" i="9"/>
  <c r="I27" i="9"/>
  <c r="R27" i="9"/>
  <c r="I86" i="9"/>
  <c r="R86" i="9"/>
  <c r="I54" i="9"/>
  <c r="R54" i="9"/>
  <c r="I48" i="9"/>
  <c r="R48" i="9"/>
  <c r="I37" i="9"/>
  <c r="R37" i="9"/>
  <c r="I85" i="9"/>
  <c r="R85" i="9"/>
  <c r="I61" i="9"/>
  <c r="R61" i="9"/>
  <c r="I53" i="9"/>
  <c r="R53" i="9"/>
  <c r="R42" i="9"/>
  <c r="I42" i="9"/>
  <c r="R30" i="9"/>
  <c r="I30" i="9"/>
  <c r="I67" i="9"/>
  <c r="R67" i="9"/>
  <c r="R91" i="9"/>
  <c r="I91" i="9"/>
  <c r="R75" i="9"/>
  <c r="I75" i="9"/>
  <c r="R62" i="9"/>
  <c r="I62" i="9"/>
  <c r="I90" i="9"/>
  <c r="R90" i="9"/>
  <c r="R79" i="9"/>
  <c r="I79" i="9"/>
  <c r="I57" i="9"/>
  <c r="R57" i="9"/>
  <c r="R47" i="9"/>
  <c r="I47" i="9"/>
  <c r="I35" i="9"/>
  <c r="R35" i="9"/>
  <c r="I25" i="9"/>
  <c r="R25" i="9"/>
  <c r="I84" i="9"/>
  <c r="R84" i="9"/>
  <c r="I52" i="9"/>
  <c r="R52" i="9"/>
  <c r="I40" i="9"/>
  <c r="R40" i="9"/>
  <c r="I34" i="9"/>
  <c r="R34" i="9"/>
  <c r="I29" i="9"/>
  <c r="R29" i="9"/>
  <c r="I32" i="9"/>
  <c r="R32" i="9"/>
  <c r="I88" i="9"/>
  <c r="R88" i="9"/>
  <c r="I56" i="9"/>
  <c r="R56" i="9"/>
  <c r="I39" i="9"/>
  <c r="R39" i="9"/>
  <c r="I24" i="9"/>
  <c r="R24" i="9"/>
  <c r="R71" i="9"/>
  <c r="I71" i="9"/>
  <c r="I83" i="9"/>
  <c r="R83" i="9"/>
  <c r="I77" i="9"/>
  <c r="R77" i="9"/>
  <c r="I72" i="9"/>
  <c r="R72" i="9"/>
  <c r="I51" i="9"/>
  <c r="R51" i="9"/>
  <c r="I45" i="9"/>
  <c r="R45" i="9"/>
  <c r="I50" i="9"/>
  <c r="R50" i="9"/>
  <c r="I44" i="9"/>
  <c r="R44" i="9"/>
  <c r="I81" i="9"/>
  <c r="R81" i="9"/>
  <c r="I49" i="9"/>
  <c r="R49" i="9"/>
  <c r="R43" i="9"/>
  <c r="I43" i="9"/>
  <c r="I66" i="9"/>
  <c r="R66" i="9"/>
  <c r="R89" i="9"/>
  <c r="I89" i="9"/>
  <c r="I80" i="9"/>
  <c r="R80" i="9"/>
  <c r="R58" i="9"/>
  <c r="I58" i="9"/>
  <c r="I26" i="9"/>
  <c r="R26" i="9"/>
  <c r="I22" i="9"/>
  <c r="R22" i="9"/>
  <c r="R19" i="9" s="1"/>
  <c r="F78" i="9"/>
  <c r="G78" i="9" s="1"/>
  <c r="F73" i="9"/>
  <c r="G73" i="9" s="1"/>
  <c r="I70" i="9"/>
  <c r="F68" i="9"/>
  <c r="G68" i="9" s="1"/>
  <c r="F63" i="9"/>
  <c r="G63" i="9" s="1"/>
  <c r="F46" i="9"/>
  <c r="G46" i="9" s="1"/>
  <c r="F41" i="9"/>
  <c r="G41" i="9" s="1"/>
  <c r="I38" i="9"/>
  <c r="F36" i="9"/>
  <c r="G36" i="9" s="1"/>
  <c r="F31" i="9"/>
  <c r="G31" i="9" s="1"/>
  <c r="F94" i="9"/>
  <c r="G94" i="9" s="1"/>
  <c r="J94" i="9" s="1"/>
  <c r="R59" i="9"/>
  <c r="F82" i="9"/>
  <c r="G82" i="9" s="1"/>
  <c r="R60" i="9"/>
  <c r="R33" i="9"/>
  <c r="I65" i="9"/>
  <c r="O97" i="9"/>
  <c r="R97" i="9" s="1"/>
  <c r="O95" i="9"/>
  <c r="R95" i="9" s="1"/>
  <c r="C16" i="9"/>
  <c r="D18" i="9" s="1"/>
  <c r="O100" i="9"/>
  <c r="R100" i="9" s="1"/>
  <c r="O96" i="9"/>
  <c r="R96" i="9" s="1"/>
  <c r="O92" i="9"/>
  <c r="R92" i="9" s="1"/>
  <c r="O98" i="9"/>
  <c r="R98" i="9" s="1"/>
  <c r="O93" i="9"/>
  <c r="R93" i="9" s="1"/>
  <c r="O94" i="9"/>
  <c r="R94" i="9" s="1"/>
  <c r="O99" i="9"/>
  <c r="R99" i="9" s="1"/>
  <c r="F17" i="9"/>
  <c r="R41" i="9" l="1"/>
  <c r="I41" i="9"/>
  <c r="I46" i="9"/>
  <c r="R46" i="9"/>
  <c r="I82" i="9"/>
  <c r="R82" i="9"/>
  <c r="R63" i="9"/>
  <c r="I63" i="9"/>
  <c r="C15" i="9"/>
  <c r="F18" i="9" s="1"/>
  <c r="I68" i="9"/>
  <c r="R68" i="9"/>
  <c r="R31" i="9"/>
  <c r="I31" i="9"/>
  <c r="R73" i="9"/>
  <c r="I73" i="9"/>
  <c r="I36" i="9"/>
  <c r="R36" i="9"/>
  <c r="R78" i="9"/>
  <c r="I78" i="9"/>
  <c r="C18" i="9" l="1"/>
  <c r="F19" i="9"/>
</calcChain>
</file>

<file path=xl/sharedStrings.xml><?xml version="1.0" encoding="utf-8"?>
<sst xmlns="http://schemas.openxmlformats.org/spreadsheetml/2006/main" count="823" uniqueCount="319">
  <si>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</si>
  <si>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</si>
  <si>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</si>
  <si>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</si>
  <si>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</si>
  <si>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</si>
  <si>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</si>
  <si>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</si>
  <si>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</si>
  <si>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</si>
  <si>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</si>
  <si>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</si>
  <si>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</si>
  <si>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</si>
  <si>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</si>
  <si>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</si>
  <si>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</si>
  <si>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</si>
  <si>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</si>
  <si>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</si>
  <si>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</si>
  <si>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</si>
  <si>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</si>
  <si>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</si>
  <si>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</si>
  <si>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</si>
  <si>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</si>
  <si>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</si>
  <si>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</si>
  <si>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</si>
  <si>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</si>
  <si>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Bull.92</t>
  </si>
  <si>
    <t>B</t>
  </si>
  <si>
    <t>BBSAG Bull.93</t>
  </si>
  <si>
    <t>BBSAG Bull.99</t>
  </si>
  <si>
    <t># of data points:</t>
  </si>
  <si>
    <t>IBVS 6070</t>
  </si>
  <si>
    <t>II</t>
  </si>
  <si>
    <t>(PST=8, PDT=MDT=7, MDT=CST=6, etc.)</t>
  </si>
  <si>
    <t>My time zone &gt;&gt;&gt;&gt;&gt;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</si>
  <si>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</si>
  <si>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</si>
  <si>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</si>
  <si>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</si>
  <si>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</si>
  <si>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</si>
  <si>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V0398 Cyg / gsc 2695-2964</t>
  </si>
  <si>
    <t>VSX</t>
  </si>
  <si>
    <t>IBVS 6118</t>
  </si>
  <si>
    <t>EA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</si>
  <si>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</si>
  <si>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</si>
  <si>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</si>
  <si>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</si>
  <si>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</si>
  <si>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</si>
  <si>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</si>
  <si>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</si>
  <si>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</si>
  <si>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</si>
  <si>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</si>
  <si>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</si>
  <si>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</si>
  <si>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2425157.36 </t>
  </si>
  <si>
    <t> 03.10.1927 20:38 </t>
  </si>
  <si>
    <t> 0.09 </t>
  </si>
  <si>
    <t>P </t>
  </si>
  <si>
    <t> W.Zonn </t>
  </si>
  <si>
    <t> WILN 17.24 </t>
  </si>
  <si>
    <t>2425387.48 </t>
  </si>
  <si>
    <t> 20.05.1928 23:31 </t>
  </si>
  <si>
    <t> -0.10 </t>
  </si>
  <si>
    <t>2425561.303 </t>
  </si>
  <si>
    <t> 10.11.1928 19:16 </t>
  </si>
  <si>
    <t> -1.304 </t>
  </si>
  <si>
    <t> J.Manek </t>
  </si>
  <si>
    <t> BRNO 30.43 </t>
  </si>
  <si>
    <t>2426244.32 </t>
  </si>
  <si>
    <t> 24.09.1930 19:40 </t>
  </si>
  <si>
    <t> 0.01 </t>
  </si>
  <si>
    <t>2426594.39 </t>
  </si>
  <si>
    <t> 09.09.1931 21:21 </t>
  </si>
  <si>
    <t> 0.02 </t>
  </si>
  <si>
    <t> S.Beljawski </t>
  </si>
  <si>
    <t> PZ 4.268 </t>
  </si>
  <si>
    <t>2426981.28 </t>
  </si>
  <si>
    <t> 30.09.1932 18:43 </t>
  </si>
  <si>
    <t> -0.01 </t>
  </si>
  <si>
    <t>2428408.512 </t>
  </si>
  <si>
    <t> 28.08.1936 00:17 </t>
  </si>
  <si>
    <t> -0.665 </t>
  </si>
  <si>
    <t>2429194.365 </t>
  </si>
  <si>
    <t> 22.10.1938 20:45 </t>
  </si>
  <si>
    <t> -2.455 </t>
  </si>
  <si>
    <t>2429877.471 </t>
  </si>
  <si>
    <t> 04.09.1940 23:18 </t>
  </si>
  <si>
    <t> -1.052 </t>
  </si>
  <si>
    <t>2430991.376 </t>
  </si>
  <si>
    <t> 23.09.1943 21:01 </t>
  </si>
  <si>
    <t> -1.823 </t>
  </si>
  <si>
    <t>2431292.488 </t>
  </si>
  <si>
    <t> 20.07.1944 23:42 </t>
  </si>
  <si>
    <t> -0.107 </t>
  </si>
  <si>
    <t>2432805.404 </t>
  </si>
  <si>
    <t> 10.09.1948 21:41 </t>
  </si>
  <si>
    <t> 2.008 </t>
  </si>
  <si>
    <t>2432832.330 </t>
  </si>
  <si>
    <t> 07.10.1948 19:55 </t>
  </si>
  <si>
    <t> 1.297 </t>
  </si>
  <si>
    <t>2436164.275 </t>
  </si>
  <si>
    <t> 21.11.1957 18:36 </t>
  </si>
  <si>
    <t> 3.032 </t>
  </si>
  <si>
    <t>2436421.403 </t>
  </si>
  <si>
    <t> 05.08.1958 21:40 </t>
  </si>
  <si>
    <t> 2.218 </t>
  </si>
  <si>
    <t>2436820.452 </t>
  </si>
  <si>
    <t> 08.09.1959 22:50 </t>
  </si>
  <si>
    <t> 0.537 </t>
  </si>
  <si>
    <t>2436847.385 </t>
  </si>
  <si>
    <t> 05.10.1959 21:14 </t>
  </si>
  <si>
    <t> -0.167 </t>
  </si>
  <si>
    <t>2436896.314 </t>
  </si>
  <si>
    <t> 23.11.1959 19:32 </t>
  </si>
  <si>
    <t> -1.905 </t>
  </si>
  <si>
    <t>2437907.448 </t>
  </si>
  <si>
    <t> 30.08.1962 22:45 </t>
  </si>
  <si>
    <t> 0.493 </t>
  </si>
  <si>
    <t>2437988.323 </t>
  </si>
  <si>
    <t> 19.11.1962 19:45 </t>
  </si>
  <si>
    <t> -1.542 </t>
  </si>
  <si>
    <t>2438088.680 </t>
  </si>
  <si>
    <t> 28.02.1963 04:19 </t>
  </si>
  <si>
    <t> -2.519 </t>
  </si>
  <si>
    <t>2438284.425 </t>
  </si>
  <si>
    <t> 11.09.1963 22:12 </t>
  </si>
  <si>
    <t> -0.230 </t>
  </si>
  <si>
    <t>2438311.344 </t>
  </si>
  <si>
    <t> 08.10.1963 20:15 </t>
  </si>
  <si>
    <t> -0.948 </t>
  </si>
  <si>
    <t>2438370.271 </t>
  </si>
  <si>
    <t> 06.12.1963 18:30 </t>
  </si>
  <si>
    <t> -1.900 </t>
  </si>
  <si>
    <t>2438590.511 </t>
  </si>
  <si>
    <t> 14.07.1964 00:15 </t>
  </si>
  <si>
    <t> -2.753 </t>
  </si>
  <si>
    <t>2438671.363 </t>
  </si>
  <si>
    <t> 02.10.1964 20:42 </t>
  </si>
  <si>
    <t> -0.204 </t>
  </si>
  <si>
    <t>2439021.331 </t>
  </si>
  <si>
    <t> 17.09.1965 19:56 </t>
  </si>
  <si>
    <t> -0.300 </t>
  </si>
  <si>
    <t>2439026.359 </t>
  </si>
  <si>
    <t> 22.09.1965 20:36 </t>
  </si>
  <si>
    <t> -4.484 </t>
  </si>
  <si>
    <t>2439349.437 </t>
  </si>
  <si>
    <t> 11.08.1966 22:29 </t>
  </si>
  <si>
    <t> -3.833 </t>
  </si>
  <si>
    <t>2439682.471 </t>
  </si>
  <si>
    <t> 10.07.1967 23:18 </t>
  </si>
  <si>
    <t> -2.438 </t>
  </si>
  <si>
    <t>2440507.378 </t>
  </si>
  <si>
    <t> 12.10.1969 21:04 </t>
  </si>
  <si>
    <t> -2.023 </t>
  </si>
  <si>
    <t>2440512.342 </t>
  </si>
  <si>
    <t> 17.10.1969 20:12 </t>
  </si>
  <si>
    <t> -1.665 </t>
  </si>
  <si>
    <t>2440916.276 </t>
  </si>
  <si>
    <t> 25.11.1970 18:37 </t>
  </si>
  <si>
    <t> -3.068 </t>
  </si>
  <si>
    <t> R.Margoni et al. </t>
  </si>
  <si>
    <t>IBVS 3309 </t>
  </si>
  <si>
    <t>2441163.519 </t>
  </si>
  <si>
    <t> 31.07.1971 00:27 </t>
  </si>
  <si>
    <t> -4.555 </t>
  </si>
  <si>
    <t>2441217.336 </t>
  </si>
  <si>
    <t> 22.09.1971 20:03 </t>
  </si>
  <si>
    <t> -6.011 </t>
  </si>
  <si>
    <t>2441217.399 </t>
  </si>
  <si>
    <t> 22.09.1971 21:34 </t>
  </si>
  <si>
    <t> -5.948 </t>
  </si>
  <si>
    <t>2441572.371 </t>
  </si>
  <si>
    <t> 11.09.1972 20:54 </t>
  </si>
  <si>
    <t> -5.646 </t>
  </si>
  <si>
    <t>2441599.353 </t>
  </si>
  <si>
    <t> 08.10.1972 20:28 </t>
  </si>
  <si>
    <t> -6.300 </t>
  </si>
  <si>
    <t>2441900.387 </t>
  </si>
  <si>
    <t> 05.08.1973 21:17 </t>
  </si>
  <si>
    <t> -4.663 </t>
  </si>
  <si>
    <t>2441900.428 </t>
  </si>
  <si>
    <t> 05.08.1973 22:16 </t>
  </si>
  <si>
    <t> -4.622 </t>
  </si>
  <si>
    <t>2441900.455 </t>
  </si>
  <si>
    <t> 05.08.1973 22:55 </t>
  </si>
  <si>
    <t> -4.595 </t>
  </si>
  <si>
    <t>2441922.434 </t>
  </si>
  <si>
    <t> 27.08.1973 22:24 </t>
  </si>
  <si>
    <t>2441927.400 </t>
  </si>
  <si>
    <t> 01.09.1973 21:36 </t>
  </si>
  <si>
    <t> -5.286 </t>
  </si>
  <si>
    <t>2442358.286 </t>
  </si>
  <si>
    <t> 06.11.1974 18:51 </t>
  </si>
  <si>
    <t> -7.374 </t>
  </si>
  <si>
    <t>2442600.487 </t>
  </si>
  <si>
    <t> 06.07.1975 23:41 </t>
  </si>
  <si>
    <t> -4.690 </t>
  </si>
  <si>
    <t>2442627.463 </t>
  </si>
  <si>
    <t> 02.08.1975 23:06 </t>
  </si>
  <si>
    <t> -5.350 </t>
  </si>
  <si>
    <t>2442632.485 </t>
  </si>
  <si>
    <t> 07.08.1975 23:38 </t>
  </si>
  <si>
    <t> -4.935 </t>
  </si>
  <si>
    <t>2443014.355 </t>
  </si>
  <si>
    <t> 23.08.1976 20:31 </t>
  </si>
  <si>
    <t> -5.371 </t>
  </si>
  <si>
    <t>2443014.396 </t>
  </si>
  <si>
    <t> 23.08.1976 21:30 </t>
  </si>
  <si>
    <t> -5.330 </t>
  </si>
  <si>
    <t>2443337.486 </t>
  </si>
  <si>
    <t> 12.07.1977 23:39 </t>
  </si>
  <si>
    <t> -4.667 </t>
  </si>
  <si>
    <t>2443337.522 </t>
  </si>
  <si>
    <t> 13.07.1977 00:31 </t>
  </si>
  <si>
    <t> -4.631 </t>
  </si>
  <si>
    <t>2443462.346 </t>
  </si>
  <si>
    <t> 14.11.1977 20:18 </t>
  </si>
  <si>
    <t> -4.172 </t>
  </si>
  <si>
    <t>2443462.399 </t>
  </si>
  <si>
    <t> 14.11.1977 21:34 </t>
  </si>
  <si>
    <t> -4.119 </t>
  </si>
  <si>
    <t>2443790.413 </t>
  </si>
  <si>
    <t> 08.10.1978 21:54 </t>
  </si>
  <si>
    <t> -3.138 </t>
  </si>
  <si>
    <t>2444015.550 </t>
  </si>
  <si>
    <t> 22.05.1979 01:12 </t>
  </si>
  <si>
    <t> -3.700 </t>
  </si>
  <si>
    <t>2444221.316 </t>
  </si>
  <si>
    <t> 13.12.1979 19:35 </t>
  </si>
  <si>
    <t> -5.208 </t>
  </si>
  <si>
    <t>2444571.249 </t>
  </si>
  <si>
    <t> 27.11.1980 17:58 </t>
  </si>
  <si>
    <t> -5.339 </t>
  </si>
  <si>
    <t>2445227.396 </t>
  </si>
  <si>
    <t> 14.09.1982 21:30 </t>
  </si>
  <si>
    <t> -3.258 </t>
  </si>
  <si>
    <t>2445905.466 </t>
  </si>
  <si>
    <t> 23.07.1984 23:11 </t>
  </si>
  <si>
    <t> -6.891 </t>
  </si>
  <si>
    <t>2446260.485 </t>
  </si>
  <si>
    <t> 13.07.1985 23:38 </t>
  </si>
  <si>
    <t> -6.541 </t>
  </si>
  <si>
    <t>2446385.270 </t>
  </si>
  <si>
    <t> 15.11.1985 18:28 </t>
  </si>
  <si>
    <t> -6.121 </t>
  </si>
  <si>
    <t>2447413.529 </t>
  </si>
  <si>
    <t> 09.09.1988 00:41 </t>
  </si>
  <si>
    <t> -5.022 </t>
  </si>
  <si>
    <t>2447445.309 </t>
  </si>
  <si>
    <t> 10.10.1988 19:24 </t>
  </si>
  <si>
    <t> -5.485 </t>
  </si>
  <si>
    <t>2447445.346 </t>
  </si>
  <si>
    <t> 10.10.1988 20:18 </t>
  </si>
  <si>
    <t> -5.448 </t>
  </si>
  <si>
    <t>2447445.394 </t>
  </si>
  <si>
    <t> 10.10.1988 21:27 </t>
  </si>
  <si>
    <t> -5.400 </t>
  </si>
  <si>
    <t>2447626.547 </t>
  </si>
  <si>
    <t> 10.04.1989 01:07 </t>
  </si>
  <si>
    <t> -3.885 </t>
  </si>
  <si>
    <t>V </t>
  </si>
  <si>
    <t> BRNO 30.44 </t>
  </si>
  <si>
    <t>2447648.578 </t>
  </si>
  <si>
    <t> 02.05.1989 01:52 </t>
  </si>
  <si>
    <t> -4.884 </t>
  </si>
  <si>
    <t> J.Borovicka </t>
  </si>
  <si>
    <t> BRNO 30 </t>
  </si>
  <si>
    <t>2447800.372 </t>
  </si>
  <si>
    <t> 30.09.1989 20:55 </t>
  </si>
  <si>
    <t> -5.092 </t>
  </si>
  <si>
    <t> K.Locher </t>
  </si>
  <si>
    <t> BBS 92 </t>
  </si>
  <si>
    <t>2447822.398 </t>
  </si>
  <si>
    <t> 22.10.1989 21:33 </t>
  </si>
  <si>
    <t> -6.096 </t>
  </si>
  <si>
    <t>2447822.411 </t>
  </si>
  <si>
    <t> 22.10.1989 21:51 </t>
  </si>
  <si>
    <t> -6.083 </t>
  </si>
  <si>
    <t> BBS 93 </t>
  </si>
  <si>
    <t>2448532.357 </t>
  </si>
  <si>
    <t> 02.10.1991 20:34 </t>
  </si>
  <si>
    <t> -5.477 </t>
  </si>
  <si>
    <t> BBS 99 </t>
  </si>
  <si>
    <t>2454307.4549 </t>
  </si>
  <si>
    <t> 25.07.2007 22:55 </t>
  </si>
  <si>
    <t> -6.4281 </t>
  </si>
  <si>
    <t>C </t>
  </si>
  <si>
    <t>o</t>
  </si>
  <si>
    <t> U.Schmidt </t>
  </si>
  <si>
    <t>BAVM 193 </t>
  </si>
  <si>
    <t>2454684.4569 </t>
  </si>
  <si>
    <t> 05.08.2008 22:57 </t>
  </si>
  <si>
    <t> -7.1263 </t>
  </si>
  <si>
    <t>-I</t>
  </si>
  <si>
    <t> P.Frank </t>
  </si>
  <si>
    <t>BAVM 234 </t>
  </si>
  <si>
    <t>2455050.459 </t>
  </si>
  <si>
    <t> 06.08.2009 23:00 </t>
  </si>
  <si>
    <t>3246</t>
  </si>
  <si>
    <t> -9.612 </t>
  </si>
  <si>
    <t>2456159.4365 </t>
  </si>
  <si>
    <t> 19.08.2012 22:28 </t>
  </si>
  <si>
    <t>3366</t>
  </si>
  <si>
    <t> -6.0987 </t>
  </si>
  <si>
    <t>BAVM 231 </t>
  </si>
  <si>
    <t>2456650.2652 </t>
  </si>
  <si>
    <t> 23.12.2013 18:21 </t>
  </si>
  <si>
    <t>3419</t>
  </si>
  <si>
    <t> -3.5166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</si>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</sst>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0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10" fillId="0" borderId="0" xfId="0" applyNumberFormat="1" applyFont="1">
      <alignment vertical="top"/>
    </xf>
    <xf numFmtId="0" fontId="16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V0398 Cyg - O-C Diagr.</a:t>
            </a:r>
          </a:p>
        </c:rich>
      </c:tx>
      <c:layout>
        <c:manualLayout>
          <c:xMode val="edge"/>
          <c:yMode val="edge"/>
          <c:x val="0.3712125984251968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7291559084339"/>
          <c:y val="0.14723926380368099"/>
          <c:w val="0.8272739513404819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E1-433A-AD44-6758FC61E8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  <c:pt idx="73">
                    <c:v>2.0000000000000001E-4</c:v>
                  </c:pt>
                  <c:pt idx="74">
                    <c:v>4.8999999999999998E-3</c:v>
                  </c:pt>
                  <c:pt idx="75">
                    <c:v>7.9000000000000008E-3</c:v>
                  </c:pt>
                  <c:pt idx="76">
                    <c:v>3.5000000000000001E-3</c:v>
                  </c:pt>
                  <c:pt idx="77">
                    <c:v>2.2000000000000001E-3</c:v>
                  </c:pt>
                  <c:pt idx="78">
                    <c:v>2.0000000000000001E-4</c:v>
                  </c:pt>
                  <c:pt idx="79">
                    <c:v>3.0000000000000001E-3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  <c:pt idx="73">
                    <c:v>2.0000000000000001E-4</c:v>
                  </c:pt>
                  <c:pt idx="74">
                    <c:v>4.8999999999999998E-3</c:v>
                  </c:pt>
                  <c:pt idx="75">
                    <c:v>7.9000000000000008E-3</c:v>
                  </c:pt>
                  <c:pt idx="76">
                    <c:v>3.5000000000000001E-3</c:v>
                  </c:pt>
                  <c:pt idx="77">
                    <c:v>2.2000000000000001E-3</c:v>
                  </c:pt>
                  <c:pt idx="78">
                    <c:v>2.0000000000000001E-4</c:v>
                  </c:pt>
                  <c:pt idx="79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9.0000000000145519E-2</c:v>
                </c:pt>
                <c:pt idx="2">
                  <c:v>8.7378000000171596E-2</c:v>
                </c:pt>
                <c:pt idx="3">
                  <c:v>9.4355000001087319E-2</c:v>
                </c:pt>
                <c:pt idx="4">
                  <c:v>8.7827999999717576E-2</c:v>
                </c:pt>
                <c:pt idx="5">
                  <c:v>7.7668999998422805E-2</c:v>
                </c:pt>
                <c:pt idx="6">
                  <c:v>0.16581499999665539</c:v>
                </c:pt>
                <c:pt idx="7">
                  <c:v>0.14793599999757134</c:v>
                </c:pt>
                <c:pt idx="8">
                  <c:v>0.15666300000157207</c:v>
                </c:pt>
                <c:pt idx="9">
                  <c:v>0.23913600000014412</c:v>
                </c:pt>
                <c:pt idx="10">
                  <c:v>0.25272100000074715</c:v>
                </c:pt>
                <c:pt idx="11">
                  <c:v>0.24682200000097509</c:v>
                </c:pt>
                <c:pt idx="12">
                  <c:v>0.22898800000257324</c:v>
                </c:pt>
                <c:pt idx="13">
                  <c:v>0.22574500000337139</c:v>
                </c:pt>
                <c:pt idx="14">
                  <c:v>0.28895200000260957</c:v>
                </c:pt>
                <c:pt idx="15">
                  <c:v>0.36508699999831151</c:v>
                </c:pt>
                <c:pt idx="16">
                  <c:v>0.37166799999977229</c:v>
                </c:pt>
                <c:pt idx="17">
                  <c:v>0.37542499999835854</c:v>
                </c:pt>
                <c:pt idx="18">
                  <c:v>0.34216499999456573</c:v>
                </c:pt>
                <c:pt idx="19">
                  <c:v>0.40549599999940256</c:v>
                </c:pt>
                <c:pt idx="20">
                  <c:v>0.49276699999609264</c:v>
                </c:pt>
                <c:pt idx="21">
                  <c:v>0.47713400000066031</c:v>
                </c:pt>
                <c:pt idx="22">
                  <c:v>0.37309400000231108</c:v>
                </c:pt>
                <c:pt idx="23">
                  <c:v>0.36285099999804515</c:v>
                </c:pt>
                <c:pt idx="24">
                  <c:v>0.53513899999961723</c:v>
                </c:pt>
                <c:pt idx="25">
                  <c:v>0.44496899999649031</c:v>
                </c:pt>
                <c:pt idx="26">
                  <c:v>0.50923999999940861</c:v>
                </c:pt>
                <c:pt idx="27">
                  <c:v>0.3970809999955236</c:v>
                </c:pt>
                <c:pt idx="28">
                  <c:v>0.52885499999683816</c:v>
                </c:pt>
                <c:pt idx="29">
                  <c:v>0.45593899999948917</c:v>
                </c:pt>
                <c:pt idx="30">
                  <c:v>0.54657099999167258</c:v>
                </c:pt>
                <c:pt idx="31">
                  <c:v>0.4394899999970221</c:v>
                </c:pt>
                <c:pt idx="32">
                  <c:v>0.5072639999925741</c:v>
                </c:pt>
                <c:pt idx="33">
                  <c:v>0.50261899999895832</c:v>
                </c:pt>
                <c:pt idx="34">
                  <c:v>0.48620600000140257</c:v>
                </c:pt>
                <c:pt idx="35">
                  <c:v>0.4447199999995064</c:v>
                </c:pt>
                <c:pt idx="36">
                  <c:v>0.50771999999415129</c:v>
                </c:pt>
                <c:pt idx="37">
                  <c:v>0.50333500000124332</c:v>
                </c:pt>
                <c:pt idx="38">
                  <c:v>0.55609199999889825</c:v>
                </c:pt>
                <c:pt idx="39">
                  <c:v>0.47219300000142539</c:v>
                </c:pt>
                <c:pt idx="40">
                  <c:v>0.51319299999886425</c:v>
                </c:pt>
                <c:pt idx="41">
                  <c:v>0.5401930000007269</c:v>
                </c:pt>
                <c:pt idx="42">
                  <c:v>0.48617599999852246</c:v>
                </c:pt>
                <c:pt idx="43">
                  <c:v>0.55595000000175787</c:v>
                </c:pt>
                <c:pt idx="44">
                  <c:v>0.57406199999968521</c:v>
                </c:pt>
                <c:pt idx="45">
                  <c:v>0.41187499999796273</c:v>
                </c:pt>
                <c:pt idx="46">
                  <c:v>0.45863200000167126</c:v>
                </c:pt>
                <c:pt idx="47">
                  <c:v>0.5844059999944875</c:v>
                </c:pt>
                <c:pt idx="48">
                  <c:v>0.54877800000394927</c:v>
                </c:pt>
                <c:pt idx="49">
                  <c:v>0.58977800000138814</c:v>
                </c:pt>
                <c:pt idx="50">
                  <c:v>0.52886199999920791</c:v>
                </c:pt>
                <c:pt idx="51">
                  <c:v>0.56486199999926612</c:v>
                </c:pt>
                <c:pt idx="52">
                  <c:v>0.53509899999335175</c:v>
                </c:pt>
                <c:pt idx="53">
                  <c:v>0.58809899999323534</c:v>
                </c:pt>
                <c:pt idx="54">
                  <c:v>0.55495700000028592</c:v>
                </c:pt>
                <c:pt idx="55">
                  <c:v>0.46556100000452716</c:v>
                </c:pt>
                <c:pt idx="56">
                  <c:v>0.59006899999803863</c:v>
                </c:pt>
                <c:pt idx="57">
                  <c:v>0.44291000000521308</c:v>
                </c:pt>
                <c:pt idx="58">
                  <c:v>0.495625999996264</c:v>
                </c:pt>
                <c:pt idx="59">
                  <c:v>0.43832499999552965</c:v>
                </c:pt>
                <c:pt idx="60">
                  <c:v>0.48093999999400694</c:v>
                </c:pt>
                <c:pt idx="61">
                  <c:v>0.41217699999833712</c:v>
                </c:pt>
                <c:pt idx="62">
                  <c:v>0.46371699999872362</c:v>
                </c:pt>
                <c:pt idx="63">
                  <c:v>0.41824799999449169</c:v>
                </c:pt>
                <c:pt idx="64">
                  <c:v>0.45524799999111565</c:v>
                </c:pt>
                <c:pt idx="65">
                  <c:v>0.50324799999361858</c:v>
                </c:pt>
                <c:pt idx="66">
                  <c:v>0.4958859999969718</c:v>
                </c:pt>
                <c:pt idx="67">
                  <c:v>0.4938689999980852</c:v>
                </c:pt>
                <c:pt idx="68">
                  <c:v>0.50486300000193296</c:v>
                </c:pt>
                <c:pt idx="69">
                  <c:v>0.49784599999838974</c:v>
                </c:pt>
                <c:pt idx="70">
                  <c:v>0.51084599999740021</c:v>
                </c:pt>
                <c:pt idx="71">
                  <c:v>0.50407599999743979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E1-433A-AD44-6758FC61E8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73">
                  <c:v>0.49600699999427889</c:v>
                </c:pt>
                <c:pt idx="75">
                  <c:v>0.50521350000053644</c:v>
                </c:pt>
                <c:pt idx="77">
                  <c:v>0.48752450000029057</c:v>
                </c:pt>
                <c:pt idx="78">
                  <c:v>0.4695679999931599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1-433A-AD44-6758FC61E8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72">
                  <c:v>0.50340899999719113</c:v>
                </c:pt>
                <c:pt idx="74">
                  <c:v>0.48701349999464583</c:v>
                </c:pt>
                <c:pt idx="76">
                  <c:v>0.47562449999531964</c:v>
                </c:pt>
                <c:pt idx="79">
                  <c:v>0.44762749999790685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E1-433A-AD44-6758FC61E8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E1-433A-AD44-6758FC61E8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E1-433A-AD44-6758FC61E8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E1-433A-AD44-6758FC61E8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71">
                  <c:v>0.62839380051908755</c:v>
                </c:pt>
                <c:pt idx="72">
                  <c:v>0.5136434586834222</c:v>
                </c:pt>
                <c:pt idx="73">
                  <c:v>0.50615233844489216</c:v>
                </c:pt>
                <c:pt idx="74">
                  <c:v>0.49888011457696846</c:v>
                </c:pt>
                <c:pt idx="75">
                  <c:v>0.49888011457696846</c:v>
                </c:pt>
                <c:pt idx="76">
                  <c:v>0.47684454660259101</c:v>
                </c:pt>
                <c:pt idx="77">
                  <c:v>0.47684454660259101</c:v>
                </c:pt>
                <c:pt idx="78">
                  <c:v>0.46709149720112808</c:v>
                </c:pt>
                <c:pt idx="79">
                  <c:v>0.45403068042161299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E1-433A-AD44-6758FC61E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2480"/>
        <c:axId val="1"/>
      </c:scatterChart>
      <c:valAx>
        <c:axId val="79340248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129165672473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02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30334844508071"/>
          <c:y val="0.92024539877300615"/>
          <c:w val="0.6333342877594845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V0398 Cyg - O-C Diagr.</a:t>
            </a:r>
          </a:p>
        </c:rich>
      </c:tx>
      <c:layout>
        <c:manualLayout>
          <c:xMode val="edge"/>
          <c:yMode val="edge"/>
          <c:x val="0.3721637064655873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0311288760584"/>
          <c:y val="0.14678942920199375"/>
          <c:w val="0.83509895274305679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3-436F-A3F6-287F30D29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  <c:pt idx="73">
                    <c:v>2.0000000000000001E-4</c:v>
                  </c:pt>
                  <c:pt idx="74">
                    <c:v>4.8999999999999998E-3</c:v>
                  </c:pt>
                  <c:pt idx="75">
                    <c:v>7.9000000000000008E-3</c:v>
                  </c:pt>
                  <c:pt idx="76">
                    <c:v>3.5000000000000001E-3</c:v>
                  </c:pt>
                  <c:pt idx="77">
                    <c:v>2.2000000000000001E-3</c:v>
                  </c:pt>
                  <c:pt idx="78">
                    <c:v>2.0000000000000001E-4</c:v>
                  </c:pt>
                  <c:pt idx="79">
                    <c:v>3.0000000000000001E-3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  <c:pt idx="73">
                    <c:v>2.0000000000000001E-4</c:v>
                  </c:pt>
                  <c:pt idx="74">
                    <c:v>4.8999999999999998E-3</c:v>
                  </c:pt>
                  <c:pt idx="75">
                    <c:v>7.9000000000000008E-3</c:v>
                  </c:pt>
                  <c:pt idx="76">
                    <c:v>3.5000000000000001E-3</c:v>
                  </c:pt>
                  <c:pt idx="77">
                    <c:v>2.2000000000000001E-3</c:v>
                  </c:pt>
                  <c:pt idx="78">
                    <c:v>2.0000000000000001E-4</c:v>
                  </c:pt>
                  <c:pt idx="79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9.0000000000145519E-2</c:v>
                </c:pt>
                <c:pt idx="2">
                  <c:v>8.7378000000171596E-2</c:v>
                </c:pt>
                <c:pt idx="3">
                  <c:v>9.4355000001087319E-2</c:v>
                </c:pt>
                <c:pt idx="4">
                  <c:v>8.7827999999717576E-2</c:v>
                </c:pt>
                <c:pt idx="5">
                  <c:v>7.7668999998422805E-2</c:v>
                </c:pt>
                <c:pt idx="6">
                  <c:v>0.16581499999665539</c:v>
                </c:pt>
                <c:pt idx="7">
                  <c:v>0.14793599999757134</c:v>
                </c:pt>
                <c:pt idx="8">
                  <c:v>0.15666300000157207</c:v>
                </c:pt>
                <c:pt idx="9">
                  <c:v>0.23913600000014412</c:v>
                </c:pt>
                <c:pt idx="10">
                  <c:v>0.25272100000074715</c:v>
                </c:pt>
                <c:pt idx="11">
                  <c:v>0.24682200000097509</c:v>
                </c:pt>
                <c:pt idx="12">
                  <c:v>0.22898800000257324</c:v>
                </c:pt>
                <c:pt idx="13">
                  <c:v>0.22574500000337139</c:v>
                </c:pt>
                <c:pt idx="14">
                  <c:v>0.28895200000260957</c:v>
                </c:pt>
                <c:pt idx="15">
                  <c:v>0.36508699999831151</c:v>
                </c:pt>
                <c:pt idx="16">
                  <c:v>0.37166799999977229</c:v>
                </c:pt>
                <c:pt idx="17">
                  <c:v>0.37542499999835854</c:v>
                </c:pt>
                <c:pt idx="18">
                  <c:v>0.34216499999456573</c:v>
                </c:pt>
                <c:pt idx="19">
                  <c:v>0.40549599999940256</c:v>
                </c:pt>
                <c:pt idx="20">
                  <c:v>0.49276699999609264</c:v>
                </c:pt>
                <c:pt idx="21">
                  <c:v>0.47713400000066031</c:v>
                </c:pt>
                <c:pt idx="22">
                  <c:v>0.37309400000231108</c:v>
                </c:pt>
                <c:pt idx="23">
                  <c:v>0.36285099999804515</c:v>
                </c:pt>
                <c:pt idx="24">
                  <c:v>0.53513899999961723</c:v>
                </c:pt>
                <c:pt idx="25">
                  <c:v>0.44496899999649031</c:v>
                </c:pt>
                <c:pt idx="26">
                  <c:v>0.50923999999940861</c:v>
                </c:pt>
                <c:pt idx="27">
                  <c:v>0.3970809999955236</c:v>
                </c:pt>
                <c:pt idx="28">
                  <c:v>0.52885499999683816</c:v>
                </c:pt>
                <c:pt idx="29">
                  <c:v>0.45593899999948917</c:v>
                </c:pt>
                <c:pt idx="30">
                  <c:v>0.54657099999167258</c:v>
                </c:pt>
                <c:pt idx="31">
                  <c:v>0.4394899999970221</c:v>
                </c:pt>
                <c:pt idx="32">
                  <c:v>0.5072639999925741</c:v>
                </c:pt>
                <c:pt idx="33">
                  <c:v>0.50261899999895832</c:v>
                </c:pt>
                <c:pt idx="34">
                  <c:v>0.48620600000140257</c:v>
                </c:pt>
                <c:pt idx="35">
                  <c:v>0.4447199999995064</c:v>
                </c:pt>
                <c:pt idx="36">
                  <c:v>0.50771999999415129</c:v>
                </c:pt>
                <c:pt idx="37">
                  <c:v>0.50333500000124332</c:v>
                </c:pt>
                <c:pt idx="38">
                  <c:v>0.55609199999889825</c:v>
                </c:pt>
                <c:pt idx="39">
                  <c:v>0.47219300000142539</c:v>
                </c:pt>
                <c:pt idx="40">
                  <c:v>0.51319299999886425</c:v>
                </c:pt>
                <c:pt idx="41">
                  <c:v>0.5401930000007269</c:v>
                </c:pt>
                <c:pt idx="42">
                  <c:v>0.48617599999852246</c:v>
                </c:pt>
                <c:pt idx="43">
                  <c:v>0.55595000000175787</c:v>
                </c:pt>
                <c:pt idx="44">
                  <c:v>0.57406199999968521</c:v>
                </c:pt>
                <c:pt idx="45">
                  <c:v>0.41187499999796273</c:v>
                </c:pt>
                <c:pt idx="46">
                  <c:v>0.45863200000167126</c:v>
                </c:pt>
                <c:pt idx="47">
                  <c:v>0.5844059999944875</c:v>
                </c:pt>
                <c:pt idx="48">
                  <c:v>0.54877800000394927</c:v>
                </c:pt>
                <c:pt idx="49">
                  <c:v>0.58977800000138814</c:v>
                </c:pt>
                <c:pt idx="50">
                  <c:v>0.52886199999920791</c:v>
                </c:pt>
                <c:pt idx="51">
                  <c:v>0.56486199999926612</c:v>
                </c:pt>
                <c:pt idx="52">
                  <c:v>0.53509899999335175</c:v>
                </c:pt>
                <c:pt idx="53">
                  <c:v>0.58809899999323534</c:v>
                </c:pt>
                <c:pt idx="54">
                  <c:v>0.55495700000028592</c:v>
                </c:pt>
                <c:pt idx="55">
                  <c:v>0.46556100000452716</c:v>
                </c:pt>
                <c:pt idx="56">
                  <c:v>0.59006899999803863</c:v>
                </c:pt>
                <c:pt idx="57">
                  <c:v>0.44291000000521308</c:v>
                </c:pt>
                <c:pt idx="58">
                  <c:v>0.495625999996264</c:v>
                </c:pt>
                <c:pt idx="59">
                  <c:v>0.43832499999552965</c:v>
                </c:pt>
                <c:pt idx="60">
                  <c:v>0.48093999999400694</c:v>
                </c:pt>
                <c:pt idx="61">
                  <c:v>0.41217699999833712</c:v>
                </c:pt>
                <c:pt idx="62">
                  <c:v>0.46371699999872362</c:v>
                </c:pt>
                <c:pt idx="63">
                  <c:v>0.41824799999449169</c:v>
                </c:pt>
                <c:pt idx="64">
                  <c:v>0.45524799999111565</c:v>
                </c:pt>
                <c:pt idx="65">
                  <c:v>0.50324799999361858</c:v>
                </c:pt>
                <c:pt idx="66">
                  <c:v>0.4958859999969718</c:v>
                </c:pt>
                <c:pt idx="67">
                  <c:v>0.4938689999980852</c:v>
                </c:pt>
                <c:pt idx="68">
                  <c:v>0.50486300000193296</c:v>
                </c:pt>
                <c:pt idx="69">
                  <c:v>0.49784599999838974</c:v>
                </c:pt>
                <c:pt idx="70">
                  <c:v>0.51084599999740021</c:v>
                </c:pt>
                <c:pt idx="71">
                  <c:v>0.50407599999743979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63-436F-A3F6-287F30D29E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73">
                  <c:v>0.49600699999427889</c:v>
                </c:pt>
                <c:pt idx="75">
                  <c:v>0.50521350000053644</c:v>
                </c:pt>
                <c:pt idx="77">
                  <c:v>0.48752450000029057</c:v>
                </c:pt>
                <c:pt idx="78">
                  <c:v>0.4695679999931599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63-436F-A3F6-287F30D29E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72">
                  <c:v>0.50340899999719113</c:v>
                </c:pt>
                <c:pt idx="74">
                  <c:v>0.48701349999464583</c:v>
                </c:pt>
                <c:pt idx="76">
                  <c:v>0.47562449999531964</c:v>
                </c:pt>
                <c:pt idx="79">
                  <c:v>0.44762749999790685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63-436F-A3F6-287F30D29E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63-436F-A3F6-287F30D29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63-436F-A3F6-287F30D29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  <c:pt idx="71">
                    <c:v>5.0000000000000001E-3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63-436F-A3F6-287F30D29E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165</c:v>
                </c:pt>
                <c:pt idx="4">
                  <c:v>444</c:v>
                </c:pt>
                <c:pt idx="5">
                  <c:v>587</c:v>
                </c:pt>
                <c:pt idx="6">
                  <c:v>745</c:v>
                </c:pt>
                <c:pt idx="7">
                  <c:v>1328</c:v>
                </c:pt>
                <c:pt idx="8">
                  <c:v>1649</c:v>
                </c:pt>
                <c:pt idx="9">
                  <c:v>1928</c:v>
                </c:pt>
                <c:pt idx="10">
                  <c:v>2383</c:v>
                </c:pt>
                <c:pt idx="11">
                  <c:v>2506</c:v>
                </c:pt>
                <c:pt idx="12">
                  <c:v>3124</c:v>
                </c:pt>
                <c:pt idx="13">
                  <c:v>3135</c:v>
                </c:pt>
                <c:pt idx="14">
                  <c:v>4496</c:v>
                </c:pt>
                <c:pt idx="15">
                  <c:v>4601</c:v>
                </c:pt>
                <c:pt idx="16">
                  <c:v>4764</c:v>
                </c:pt>
                <c:pt idx="17">
                  <c:v>4775</c:v>
                </c:pt>
                <c:pt idx="18">
                  <c:v>4795</c:v>
                </c:pt>
                <c:pt idx="19">
                  <c:v>5208</c:v>
                </c:pt>
                <c:pt idx="20">
                  <c:v>5241</c:v>
                </c:pt>
                <c:pt idx="21">
                  <c:v>5282</c:v>
                </c:pt>
                <c:pt idx="22">
                  <c:v>5362</c:v>
                </c:pt>
                <c:pt idx="23">
                  <c:v>5373</c:v>
                </c:pt>
                <c:pt idx="24">
                  <c:v>5397</c:v>
                </c:pt>
                <c:pt idx="25">
                  <c:v>5487</c:v>
                </c:pt>
                <c:pt idx="26">
                  <c:v>5520</c:v>
                </c:pt>
                <c:pt idx="27">
                  <c:v>5663</c:v>
                </c:pt>
                <c:pt idx="28">
                  <c:v>5665</c:v>
                </c:pt>
                <c:pt idx="29">
                  <c:v>5797</c:v>
                </c:pt>
                <c:pt idx="30">
                  <c:v>5933</c:v>
                </c:pt>
                <c:pt idx="31">
                  <c:v>6270</c:v>
                </c:pt>
                <c:pt idx="32">
                  <c:v>6272</c:v>
                </c:pt>
                <c:pt idx="33">
                  <c:v>6437</c:v>
                </c:pt>
                <c:pt idx="34">
                  <c:v>6538</c:v>
                </c:pt>
                <c:pt idx="35">
                  <c:v>6560</c:v>
                </c:pt>
                <c:pt idx="36">
                  <c:v>6560</c:v>
                </c:pt>
                <c:pt idx="37">
                  <c:v>6705</c:v>
                </c:pt>
                <c:pt idx="38">
                  <c:v>6716</c:v>
                </c:pt>
                <c:pt idx="39">
                  <c:v>6839</c:v>
                </c:pt>
                <c:pt idx="40">
                  <c:v>6839</c:v>
                </c:pt>
                <c:pt idx="41">
                  <c:v>6839</c:v>
                </c:pt>
                <c:pt idx="42">
                  <c:v>6848</c:v>
                </c:pt>
                <c:pt idx="43">
                  <c:v>6850</c:v>
                </c:pt>
                <c:pt idx="44">
                  <c:v>7026</c:v>
                </c:pt>
                <c:pt idx="45">
                  <c:v>7125</c:v>
                </c:pt>
                <c:pt idx="46">
                  <c:v>7136</c:v>
                </c:pt>
                <c:pt idx="47">
                  <c:v>7138</c:v>
                </c:pt>
                <c:pt idx="48">
                  <c:v>7294</c:v>
                </c:pt>
                <c:pt idx="49">
                  <c:v>7294</c:v>
                </c:pt>
                <c:pt idx="50">
                  <c:v>7426</c:v>
                </c:pt>
                <c:pt idx="51">
                  <c:v>7426</c:v>
                </c:pt>
                <c:pt idx="52">
                  <c:v>7477</c:v>
                </c:pt>
                <c:pt idx="53">
                  <c:v>7477</c:v>
                </c:pt>
                <c:pt idx="54">
                  <c:v>7611</c:v>
                </c:pt>
                <c:pt idx="55">
                  <c:v>7703</c:v>
                </c:pt>
                <c:pt idx="56">
                  <c:v>7787</c:v>
                </c:pt>
                <c:pt idx="57">
                  <c:v>7930</c:v>
                </c:pt>
                <c:pt idx="58">
                  <c:v>8198</c:v>
                </c:pt>
                <c:pt idx="59">
                  <c:v>8475</c:v>
                </c:pt>
                <c:pt idx="60">
                  <c:v>8620</c:v>
                </c:pt>
                <c:pt idx="61">
                  <c:v>8671</c:v>
                </c:pt>
                <c:pt idx="62">
                  <c:v>9091</c:v>
                </c:pt>
                <c:pt idx="63">
                  <c:v>9104</c:v>
                </c:pt>
                <c:pt idx="64">
                  <c:v>9104</c:v>
                </c:pt>
                <c:pt idx="65">
                  <c:v>9104</c:v>
                </c:pt>
                <c:pt idx="66">
                  <c:v>9178</c:v>
                </c:pt>
                <c:pt idx="67">
                  <c:v>9187</c:v>
                </c:pt>
                <c:pt idx="68">
                  <c:v>9249</c:v>
                </c:pt>
                <c:pt idx="69">
                  <c:v>9258</c:v>
                </c:pt>
                <c:pt idx="70">
                  <c:v>9258</c:v>
                </c:pt>
                <c:pt idx="71">
                  <c:v>9548</c:v>
                </c:pt>
                <c:pt idx="72">
                  <c:v>11907</c:v>
                </c:pt>
                <c:pt idx="73">
                  <c:v>12061</c:v>
                </c:pt>
                <c:pt idx="74">
                  <c:v>12210.5</c:v>
                </c:pt>
                <c:pt idx="75">
                  <c:v>12210.5</c:v>
                </c:pt>
                <c:pt idx="76">
                  <c:v>12663.5</c:v>
                </c:pt>
                <c:pt idx="77">
                  <c:v>12663.5</c:v>
                </c:pt>
                <c:pt idx="78">
                  <c:v>12864</c:v>
                </c:pt>
                <c:pt idx="79">
                  <c:v>13132.5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71">
                  <c:v>0.62839380051908755</c:v>
                </c:pt>
                <c:pt idx="72">
                  <c:v>0.5136434586834222</c:v>
                </c:pt>
                <c:pt idx="73">
                  <c:v>0.50615233844489216</c:v>
                </c:pt>
                <c:pt idx="74">
                  <c:v>0.49888011457696846</c:v>
                </c:pt>
                <c:pt idx="75">
                  <c:v>0.49888011457696846</c:v>
                </c:pt>
                <c:pt idx="76">
                  <c:v>0.47684454660259101</c:v>
                </c:pt>
                <c:pt idx="77">
                  <c:v>0.47684454660259101</c:v>
                </c:pt>
                <c:pt idx="78">
                  <c:v>0.46709149720112808</c:v>
                </c:pt>
                <c:pt idx="79">
                  <c:v>0.45403068042161299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63-436F-A3F6-287F30D2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13960"/>
        <c:axId val="1"/>
      </c:scatterChart>
      <c:valAx>
        <c:axId val="7934139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981996577204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114977307110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13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92905444308115"/>
          <c:y val="0.9204921861831491"/>
          <c:w val="0.632375665598532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64517" name="Chart 1">
          <a:extLst>
            <a:ext uri="{FF2B5EF4-FFF2-40B4-BE49-F238E27FC236}">
              <a16:creationId xmlns:a16="http://schemas.microsoft.com/office/drawing/2014/main" id="{A938A815-CA19-422F-956B-7D46582D1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64518" name="Chart 4">
          <a:extLst>
            <a:ext uri="{FF2B5EF4-FFF2-40B4-BE49-F238E27FC236}">
              <a16:creationId xmlns:a16="http://schemas.microsoft.com/office/drawing/2014/main" id="{02673EAE-9B63-C026-ADF9-E5A547A8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309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3309" TargetMode="External"/><Relationship Id="rId7" Type="http://schemas.openxmlformats.org/officeDocument/2006/relationships/hyperlink" Target="http://www.konkoly.hu/cgi-bin/IBVS?3309" TargetMode="External"/><Relationship Id="rId12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konkoly.hu/cgi-bin/IBVS?3309" TargetMode="External"/><Relationship Id="rId16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www.konkoly.hu/cgi-bin/IBVS?3309" TargetMode="External"/><Relationship Id="rId6" Type="http://schemas.openxmlformats.org/officeDocument/2006/relationships/hyperlink" Target="http://www.konkoly.hu/cgi-bin/IBVS?3309" TargetMode="External"/><Relationship Id="rId11" Type="http://schemas.openxmlformats.org/officeDocument/2006/relationships/hyperlink" Target="http://www.konkoly.hu/cgi-bin/IBVS?3309" TargetMode="External"/><Relationship Id="rId5" Type="http://schemas.openxmlformats.org/officeDocument/2006/relationships/hyperlink" Target="http://www.konkoly.hu/cgi-bin/IBVS?3309" TargetMode="External"/><Relationship Id="rId15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konkoly.hu/cgi-bin/IBVS?3309" TargetMode="External"/><Relationship Id="rId4" Type="http://schemas.openxmlformats.org/officeDocument/2006/relationships/hyperlink" Target="http://www.konkoly.hu/cgi-bin/IBVS?3309" TargetMode="External"/><Relationship Id="rId9" Type="http://schemas.openxmlformats.org/officeDocument/2006/relationships/hyperlink" Target="http://www.konkoly.hu/cgi-bin/IBVS?3309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235"/>
  <sheetViews>
    <sheetView tabSelected="1" workbookViewId="0">
      <pane xSplit="14" ySplit="21" topLeftCell="O79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46</v>
      </c>
    </row>
    <row r="2" spans="1:6">
      <c r="A2" t="s">
        <v>26</v>
      </c>
      <c r="B2" t="s">
        <v>49</v>
      </c>
    </row>
    <row r="3" spans="1:6" ht="13.5" thickBot="1"/>
    <row r="4" spans="1:6" ht="14.25" thickTop="1" thickBot="1">
      <c r="A4" s="8" t="s">
        <v>1</v>
      </c>
      <c r="C4" s="3">
        <v>25157.27</v>
      </c>
      <c r="D4" s="4">
        <v>9.2121999999999993</v>
      </c>
    </row>
    <row r="5" spans="1:6" ht="13.5" thickTop="1">
      <c r="A5" s="18" t="s">
        <v>39</v>
      </c>
      <c r="B5" s="16"/>
      <c r="C5" s="17">
        <v>-9.5</v>
      </c>
      <c r="D5" s="16" t="s">
        <v>38</v>
      </c>
    </row>
    <row r="6" spans="1:6">
      <c r="A6" s="8" t="s">
        <v>2</v>
      </c>
    </row>
    <row r="7" spans="1:6">
      <c r="A7" t="s">
        <v>3</v>
      </c>
      <c r="C7">
        <f>+C4</f>
        <v>25157.27</v>
      </c>
    </row>
    <row r="8" spans="1:6">
      <c r="A8" t="s">
        <v>4</v>
      </c>
      <c r="C8">
        <v>2.4481130000000002</v>
      </c>
      <c r="D8" s="27" t="s">
        <v>47</v>
      </c>
    </row>
    <row r="9" spans="1:6">
      <c r="A9" s="21" t="s">
        <v>40</v>
      </c>
      <c r="B9" s="22">
        <v>95</v>
      </c>
      <c r="C9" s="19" t="str">
        <f>"F"&amp;B9</f>
        <v>F95</v>
      </c>
      <c r="D9" s="20" t="str">
        <f>"G"&amp;B9</f>
        <v>G95</v>
      </c>
    </row>
    <row r="10" spans="1:6" ht="13.5" thickBot="1">
      <c r="C10" s="7" t="s">
        <v>21</v>
      </c>
      <c r="D10" s="7" t="s">
        <v>22</v>
      </c>
    </row>
    <row r="11" spans="1:6">
      <c r="A11" t="s">
        <v>17</v>
      </c>
      <c r="C11" s="23">
        <f ca="1">INTERCEPT(INDIRECT($D$9):G992,INDIRECT($C$9):F992)</f>
        <v>1.0928432553079528</v>
      </c>
      <c r="D11" s="6"/>
    </row>
    <row r="12" spans="1:6">
      <c r="A12" t="s">
        <v>18</v>
      </c>
      <c r="C12" s="23">
        <f ca="1">SLOPE(INDIRECT($D$9):G992,INDIRECT($C$9):F992)</f>
        <v>-4.8643637912533013E-5</v>
      </c>
      <c r="D12" s="6"/>
    </row>
    <row r="13" spans="1:6">
      <c r="A13" t="s">
        <v>20</v>
      </c>
      <c r="C13" s="6" t="s">
        <v>15</v>
      </c>
    </row>
    <row r="14" spans="1:6">
      <c r="A14" t="s">
        <v>25</v>
      </c>
    </row>
    <row r="15" spans="1:6">
      <c r="A15" s="5" t="s">
        <v>19</v>
      </c>
      <c r="C15" s="11">
        <f ca="1">(C7+C11)+(C8+C12)*INT(MAX(F21:F3533))</f>
        <v>57306.34397100225</v>
      </c>
      <c r="E15" s="24" t="s">
        <v>41</v>
      </c>
      <c r="F15" s="17">
        <v>1</v>
      </c>
    </row>
    <row r="16" spans="1:6">
      <c r="A16" s="8" t="s">
        <v>5</v>
      </c>
      <c r="C16" s="12">
        <f ca="1">+C8+C12</f>
        <v>2.4480643563620879</v>
      </c>
      <c r="E16" s="24" t="s">
        <v>42</v>
      </c>
      <c r="F16" s="25">
        <f ca="1">NOW()+15018.5+$C$5/24</f>
        <v>60340.66928159722</v>
      </c>
    </row>
    <row r="17" spans="1:18" ht="13.5" thickBot="1">
      <c r="A17" s="13" t="s">
        <v>35</v>
      </c>
      <c r="C17">
        <f>COUNT(C21:C2191)</f>
        <v>80</v>
      </c>
      <c r="E17" s="24" t="s">
        <v>43</v>
      </c>
      <c r="F17" s="25">
        <f ca="1">ROUND(2*(F16-$C$7)/$C$8,0)/2+F15</f>
        <v>14372.5</v>
      </c>
    </row>
    <row r="18" spans="1:18" ht="14.25" thickTop="1" thickBot="1">
      <c r="A18" s="8" t="s">
        <v>6</v>
      </c>
      <c r="C18" s="3">
        <f ca="1">+C15</f>
        <v>57306.34397100225</v>
      </c>
      <c r="D18" s="4">
        <f ca="1">+C16</f>
        <v>2.4480643563620879</v>
      </c>
      <c r="E18" s="24" t="s">
        <v>44</v>
      </c>
      <c r="F18" s="20">
        <f ca="1">ROUND(2*(F16-$C$15)/$C$16,0)/2+F15</f>
        <v>1240.5</v>
      </c>
    </row>
    <row r="19" spans="1:18" ht="13.5" thickTop="1">
      <c r="E19" s="24" t="s">
        <v>45</v>
      </c>
      <c r="F19" s="26">
        <f ca="1">+$C$15+$C$16*F18-15018.5-$C$5/24</f>
        <v>45325.063638402753</v>
      </c>
      <c r="R19">
        <f>SQRT(SUM(R22:R25)/3)</f>
        <v>0.10384529919261594</v>
      </c>
    </row>
    <row r="20" spans="1:18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58</v>
      </c>
      <c r="I20" s="10" t="s">
        <v>61</v>
      </c>
      <c r="J20" s="10" t="s">
        <v>55</v>
      </c>
      <c r="K20" s="10" t="s">
        <v>53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18">
      <c r="A21" t="s">
        <v>13</v>
      </c>
      <c r="C21" s="14">
        <v>25157.27</v>
      </c>
      <c r="D21" s="14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Q21" s="2">
        <f t="shared" ref="Q21:Q52" si="3">+C21-15018.5</f>
        <v>10138.77</v>
      </c>
    </row>
    <row r="22" spans="1:18">
      <c r="A22" s="48" t="s">
        <v>68</v>
      </c>
      <c r="B22" s="49" t="s">
        <v>50</v>
      </c>
      <c r="C22" s="48">
        <v>25157.360000000001</v>
      </c>
      <c r="D22" s="48" t="s">
        <v>61</v>
      </c>
      <c r="E22">
        <f t="shared" si="0"/>
        <v>3.6763008897116069E-2</v>
      </c>
      <c r="F22">
        <f t="shared" si="1"/>
        <v>0</v>
      </c>
      <c r="G22">
        <f t="shared" si="2"/>
        <v>9.0000000000145519E-2</v>
      </c>
      <c r="I22">
        <f t="shared" ref="I22:I53" si="4">+G22</f>
        <v>9.0000000000145519E-2</v>
      </c>
      <c r="Q22" s="2">
        <f t="shared" si="3"/>
        <v>10138.86</v>
      </c>
      <c r="R22">
        <f t="shared" ref="R22:R53" si="5">+(O22-G22)^2</f>
        <v>8.1000000000261939E-3</v>
      </c>
    </row>
    <row r="23" spans="1:18">
      <c r="A23" s="48" t="s">
        <v>68</v>
      </c>
      <c r="B23" s="49" t="s">
        <v>50</v>
      </c>
      <c r="C23" s="48">
        <v>25387.48</v>
      </c>
      <c r="D23" s="48" t="s">
        <v>61</v>
      </c>
      <c r="E23">
        <f t="shared" si="0"/>
        <v>94.035691979904158</v>
      </c>
      <c r="F23">
        <f t="shared" si="1"/>
        <v>94</v>
      </c>
      <c r="G23">
        <f t="shared" si="2"/>
        <v>8.7378000000171596E-2</v>
      </c>
      <c r="I23">
        <f t="shared" si="4"/>
        <v>8.7378000000171596E-2</v>
      </c>
      <c r="Q23" s="2">
        <f t="shared" si="3"/>
        <v>10368.98</v>
      </c>
      <c r="R23">
        <f t="shared" si="5"/>
        <v>7.6349148840299877E-3</v>
      </c>
    </row>
    <row r="24" spans="1:18">
      <c r="A24" s="48" t="s">
        <v>76</v>
      </c>
      <c r="B24" s="49" t="s">
        <v>50</v>
      </c>
      <c r="C24" s="48">
        <v>25561.303</v>
      </c>
      <c r="D24" s="48" t="s">
        <v>61</v>
      </c>
      <c r="E24">
        <f t="shared" si="0"/>
        <v>165.03854193004955</v>
      </c>
      <c r="F24">
        <f t="shared" si="1"/>
        <v>165</v>
      </c>
      <c r="G24">
        <f t="shared" si="2"/>
        <v>9.4355000001087319E-2</v>
      </c>
      <c r="I24">
        <f t="shared" si="4"/>
        <v>9.4355000001087319E-2</v>
      </c>
      <c r="Q24" s="2">
        <f t="shared" si="3"/>
        <v>10542.803</v>
      </c>
      <c r="R24">
        <f t="shared" si="5"/>
        <v>8.9028660252051875E-3</v>
      </c>
    </row>
    <row r="25" spans="1:18">
      <c r="A25" s="48" t="s">
        <v>68</v>
      </c>
      <c r="B25" s="49" t="s">
        <v>50</v>
      </c>
      <c r="C25" s="48">
        <v>26244.32</v>
      </c>
      <c r="D25" s="48" t="s">
        <v>61</v>
      </c>
      <c r="E25">
        <f t="shared" si="0"/>
        <v>444.03587579494865</v>
      </c>
      <c r="F25">
        <f t="shared" si="1"/>
        <v>444</v>
      </c>
      <c r="G25">
        <f t="shared" si="2"/>
        <v>8.7827999999717576E-2</v>
      </c>
      <c r="I25">
        <f t="shared" si="4"/>
        <v>8.7827999999717576E-2</v>
      </c>
      <c r="Q25" s="2">
        <f t="shared" si="3"/>
        <v>11225.82</v>
      </c>
      <c r="R25">
        <f t="shared" si="5"/>
        <v>7.7137575839503906E-3</v>
      </c>
    </row>
    <row r="26" spans="1:18">
      <c r="A26" s="48" t="s">
        <v>84</v>
      </c>
      <c r="B26" s="49" t="s">
        <v>50</v>
      </c>
      <c r="C26" s="48">
        <v>26594.39</v>
      </c>
      <c r="D26" s="48" t="s">
        <v>61</v>
      </c>
      <c r="E26">
        <f t="shared" si="0"/>
        <v>587.03172606819987</v>
      </c>
      <c r="F26">
        <f t="shared" si="1"/>
        <v>587</v>
      </c>
      <c r="G26">
        <f t="shared" si="2"/>
        <v>7.7668999998422805E-2</v>
      </c>
      <c r="I26">
        <f t="shared" si="4"/>
        <v>7.7668999998422805E-2</v>
      </c>
      <c r="Q26" s="2">
        <f t="shared" si="3"/>
        <v>11575.89</v>
      </c>
      <c r="R26">
        <f t="shared" si="5"/>
        <v>6.0324735607550015E-3</v>
      </c>
    </row>
    <row r="27" spans="1:18">
      <c r="A27" s="48" t="s">
        <v>84</v>
      </c>
      <c r="B27" s="49" t="s">
        <v>50</v>
      </c>
      <c r="C27" s="48">
        <v>26981.279999999999</v>
      </c>
      <c r="D27" s="48" t="s">
        <v>61</v>
      </c>
      <c r="E27">
        <f t="shared" si="0"/>
        <v>745.06773175911337</v>
      </c>
      <c r="F27">
        <f t="shared" si="1"/>
        <v>745</v>
      </c>
      <c r="G27">
        <f t="shared" si="2"/>
        <v>0.16581499999665539</v>
      </c>
      <c r="I27">
        <f t="shared" si="4"/>
        <v>0.16581499999665539</v>
      </c>
      <c r="Q27" s="2">
        <f t="shared" si="3"/>
        <v>11962.779999999999</v>
      </c>
      <c r="R27">
        <f t="shared" si="5"/>
        <v>2.7494614223890827E-2</v>
      </c>
    </row>
    <row r="28" spans="1:18">
      <c r="A28" s="48" t="s">
        <v>76</v>
      </c>
      <c r="B28" s="49" t="s">
        <v>50</v>
      </c>
      <c r="C28" s="48">
        <v>28408.511999999999</v>
      </c>
      <c r="D28" s="48" t="s">
        <v>61</v>
      </c>
      <c r="E28">
        <f t="shared" si="0"/>
        <v>1328.0604285831569</v>
      </c>
      <c r="F28">
        <f t="shared" si="1"/>
        <v>1328</v>
      </c>
      <c r="G28">
        <f t="shared" si="2"/>
        <v>0.14793599999757134</v>
      </c>
      <c r="I28">
        <f t="shared" si="4"/>
        <v>0.14793599999757134</v>
      </c>
      <c r="Q28" s="2">
        <f t="shared" si="3"/>
        <v>13390.011999999999</v>
      </c>
      <c r="R28">
        <f t="shared" si="5"/>
        <v>2.188506009528143E-2</v>
      </c>
    </row>
    <row r="29" spans="1:18">
      <c r="A29" s="48" t="s">
        <v>76</v>
      </c>
      <c r="B29" s="49" t="s">
        <v>37</v>
      </c>
      <c r="C29" s="48">
        <v>29194.365000000002</v>
      </c>
      <c r="D29" s="48" t="s">
        <v>61</v>
      </c>
      <c r="E29">
        <f t="shared" si="0"/>
        <v>1649.0639933695875</v>
      </c>
      <c r="F29">
        <f t="shared" si="1"/>
        <v>1649</v>
      </c>
      <c r="G29">
        <f t="shared" si="2"/>
        <v>0.15666300000157207</v>
      </c>
      <c r="I29">
        <f t="shared" si="4"/>
        <v>0.15666300000157207</v>
      </c>
      <c r="Q29" s="2">
        <f t="shared" si="3"/>
        <v>14175.865000000002</v>
      </c>
      <c r="R29">
        <f t="shared" si="5"/>
        <v>2.4543295569492571E-2</v>
      </c>
    </row>
    <row r="30" spans="1:18">
      <c r="A30" s="48" t="s">
        <v>76</v>
      </c>
      <c r="B30" s="49" t="s">
        <v>37</v>
      </c>
      <c r="C30" s="48">
        <v>29877.471000000001</v>
      </c>
      <c r="D30" s="48" t="s">
        <v>61</v>
      </c>
      <c r="E30">
        <f t="shared" si="0"/>
        <v>1928.0976817655069</v>
      </c>
      <c r="F30">
        <f t="shared" si="1"/>
        <v>1928</v>
      </c>
      <c r="G30">
        <f t="shared" si="2"/>
        <v>0.23913600000014412</v>
      </c>
      <c r="I30">
        <f t="shared" si="4"/>
        <v>0.23913600000014412</v>
      </c>
      <c r="Q30" s="2">
        <f t="shared" si="3"/>
        <v>14858.971000000001</v>
      </c>
      <c r="R30">
        <f t="shared" si="5"/>
        <v>5.718602649606893E-2</v>
      </c>
    </row>
    <row r="31" spans="1:18">
      <c r="A31" s="48" t="s">
        <v>76</v>
      </c>
      <c r="B31" s="49" t="s">
        <v>37</v>
      </c>
      <c r="C31" s="48">
        <v>30991.376</v>
      </c>
      <c r="D31" s="48" t="s">
        <v>61</v>
      </c>
      <c r="E31">
        <f t="shared" si="0"/>
        <v>2383.1032309374605</v>
      </c>
      <c r="F31">
        <f t="shared" si="1"/>
        <v>2383</v>
      </c>
      <c r="G31">
        <f t="shared" si="2"/>
        <v>0.25272100000074715</v>
      </c>
      <c r="I31">
        <f t="shared" si="4"/>
        <v>0.25272100000074715</v>
      </c>
      <c r="Q31" s="2">
        <f t="shared" si="3"/>
        <v>15972.876</v>
      </c>
      <c r="R31">
        <f t="shared" si="5"/>
        <v>6.3867903841377638E-2</v>
      </c>
    </row>
    <row r="32" spans="1:18">
      <c r="A32" s="48" t="s">
        <v>76</v>
      </c>
      <c r="B32" s="49" t="s">
        <v>50</v>
      </c>
      <c r="C32" s="48">
        <v>31292.488000000001</v>
      </c>
      <c r="D32" s="48" t="s">
        <v>61</v>
      </c>
      <c r="E32">
        <f t="shared" si="0"/>
        <v>2506.1008213264668</v>
      </c>
      <c r="F32">
        <f t="shared" si="1"/>
        <v>2506</v>
      </c>
      <c r="G32">
        <f t="shared" si="2"/>
        <v>0.24682200000097509</v>
      </c>
      <c r="I32">
        <f t="shared" si="4"/>
        <v>0.24682200000097509</v>
      </c>
      <c r="Q32" s="2">
        <f t="shared" si="3"/>
        <v>16273.988000000001</v>
      </c>
      <c r="R32">
        <f t="shared" si="5"/>
        <v>6.0921099684481353E-2</v>
      </c>
    </row>
    <row r="33" spans="1:18">
      <c r="A33" s="48" t="s">
        <v>76</v>
      </c>
      <c r="B33" s="49" t="s">
        <v>50</v>
      </c>
      <c r="C33" s="48">
        <v>32805.404000000002</v>
      </c>
      <c r="D33" s="48" t="s">
        <v>61</v>
      </c>
      <c r="E33">
        <f t="shared" si="0"/>
        <v>3124.0935365320152</v>
      </c>
      <c r="F33">
        <f t="shared" si="1"/>
        <v>3124</v>
      </c>
      <c r="G33">
        <f t="shared" si="2"/>
        <v>0.22898800000257324</v>
      </c>
      <c r="I33">
        <f t="shared" si="4"/>
        <v>0.22898800000257324</v>
      </c>
      <c r="Q33" s="2">
        <f t="shared" si="3"/>
        <v>17786.904000000002</v>
      </c>
      <c r="R33">
        <f t="shared" si="5"/>
        <v>5.2435504145178481E-2</v>
      </c>
    </row>
    <row r="34" spans="1:18">
      <c r="A34" s="48" t="s">
        <v>76</v>
      </c>
      <c r="B34" s="49" t="s">
        <v>50</v>
      </c>
      <c r="C34" s="48">
        <v>32832.33</v>
      </c>
      <c r="D34" s="48" t="s">
        <v>61</v>
      </c>
      <c r="E34">
        <f t="shared" si="0"/>
        <v>3135.0922118382609</v>
      </c>
      <c r="F34">
        <f t="shared" si="1"/>
        <v>3135</v>
      </c>
      <c r="G34">
        <f t="shared" si="2"/>
        <v>0.22574500000337139</v>
      </c>
      <c r="I34">
        <f t="shared" si="4"/>
        <v>0.22574500000337139</v>
      </c>
      <c r="Q34" s="2">
        <f t="shared" si="3"/>
        <v>17813.830000000002</v>
      </c>
      <c r="R34">
        <f t="shared" si="5"/>
        <v>5.096080502652215E-2</v>
      </c>
    </row>
    <row r="35" spans="1:18">
      <c r="A35" s="48" t="s">
        <v>76</v>
      </c>
      <c r="B35" s="49" t="s">
        <v>37</v>
      </c>
      <c r="C35" s="48">
        <v>36164.275000000001</v>
      </c>
      <c r="D35" s="48" t="s">
        <v>61</v>
      </c>
      <c r="E35">
        <f t="shared" si="0"/>
        <v>4496.1180304994095</v>
      </c>
      <c r="F35">
        <f t="shared" si="1"/>
        <v>4496</v>
      </c>
      <c r="G35">
        <f t="shared" si="2"/>
        <v>0.28895200000260957</v>
      </c>
      <c r="I35">
        <f t="shared" si="4"/>
        <v>0.28895200000260957</v>
      </c>
      <c r="Q35" s="2">
        <f t="shared" si="3"/>
        <v>21145.775000000001</v>
      </c>
      <c r="R35">
        <f t="shared" si="5"/>
        <v>8.3493258305508078E-2</v>
      </c>
    </row>
    <row r="36" spans="1:18">
      <c r="A36" s="48" t="s">
        <v>76</v>
      </c>
      <c r="B36" s="49" t="s">
        <v>37</v>
      </c>
      <c r="C36" s="48">
        <v>36421.402999999998</v>
      </c>
      <c r="D36" s="48" t="s">
        <v>61</v>
      </c>
      <c r="E36">
        <f t="shared" si="0"/>
        <v>4601.1491299625459</v>
      </c>
      <c r="F36">
        <f t="shared" si="1"/>
        <v>4601</v>
      </c>
      <c r="G36">
        <f t="shared" si="2"/>
        <v>0.36508699999831151</v>
      </c>
      <c r="I36">
        <f t="shared" si="4"/>
        <v>0.36508699999831151</v>
      </c>
      <c r="Q36" s="2">
        <f t="shared" si="3"/>
        <v>21402.902999999998</v>
      </c>
      <c r="R36">
        <f t="shared" si="5"/>
        <v>0.13328851756776711</v>
      </c>
    </row>
    <row r="37" spans="1:18">
      <c r="A37" s="48" t="s">
        <v>76</v>
      </c>
      <c r="B37" s="49" t="s">
        <v>50</v>
      </c>
      <c r="C37" s="48">
        <v>36820.451999999997</v>
      </c>
      <c r="D37" s="48" t="s">
        <v>61</v>
      </c>
      <c r="E37">
        <f t="shared" si="0"/>
        <v>4764.1518181554511</v>
      </c>
      <c r="F37">
        <f t="shared" si="1"/>
        <v>4764</v>
      </c>
      <c r="G37">
        <f t="shared" si="2"/>
        <v>0.37166799999977229</v>
      </c>
      <c r="I37">
        <f t="shared" si="4"/>
        <v>0.37166799999977229</v>
      </c>
      <c r="Q37" s="2">
        <f t="shared" si="3"/>
        <v>21801.951999999997</v>
      </c>
      <c r="R37">
        <f t="shared" si="5"/>
        <v>0.13813710222383074</v>
      </c>
    </row>
    <row r="38" spans="1:18">
      <c r="A38" s="48" t="s">
        <v>76</v>
      </c>
      <c r="B38" s="49" t="s">
        <v>50</v>
      </c>
      <c r="C38" s="48">
        <v>36847.385000000002</v>
      </c>
      <c r="D38" s="48" t="s">
        <v>61</v>
      </c>
      <c r="E38">
        <f t="shared" si="0"/>
        <v>4775.1533528068358</v>
      </c>
      <c r="F38">
        <f t="shared" si="1"/>
        <v>4775</v>
      </c>
      <c r="G38">
        <f t="shared" si="2"/>
        <v>0.37542499999835854</v>
      </c>
      <c r="I38">
        <f t="shared" si="4"/>
        <v>0.37542499999835854</v>
      </c>
      <c r="Q38" s="2">
        <f t="shared" si="3"/>
        <v>21828.885000000002</v>
      </c>
      <c r="R38">
        <f t="shared" si="5"/>
        <v>0.1409439306237675</v>
      </c>
    </row>
    <row r="39" spans="1:18">
      <c r="A39" s="48" t="s">
        <v>76</v>
      </c>
      <c r="B39" s="49" t="s">
        <v>37</v>
      </c>
      <c r="C39" s="48">
        <v>36896.313999999998</v>
      </c>
      <c r="D39" s="48" t="s">
        <v>61</v>
      </c>
      <c r="E39">
        <f t="shared" si="0"/>
        <v>4795.1397668326572</v>
      </c>
      <c r="F39">
        <f t="shared" si="1"/>
        <v>4795</v>
      </c>
      <c r="G39">
        <f t="shared" si="2"/>
        <v>0.34216499999456573</v>
      </c>
      <c r="I39">
        <f t="shared" si="4"/>
        <v>0.34216499999456573</v>
      </c>
      <c r="Q39" s="2">
        <f t="shared" si="3"/>
        <v>21877.813999999998</v>
      </c>
      <c r="R39">
        <f t="shared" si="5"/>
        <v>0.11707688722128116</v>
      </c>
    </row>
    <row r="40" spans="1:18">
      <c r="A40" s="48" t="s">
        <v>76</v>
      </c>
      <c r="B40" s="49" t="s">
        <v>50</v>
      </c>
      <c r="C40" s="48">
        <v>37907.447999999997</v>
      </c>
      <c r="D40" s="48" t="s">
        <v>61</v>
      </c>
      <c r="E40">
        <f t="shared" si="0"/>
        <v>5208.1656361450614</v>
      </c>
      <c r="F40">
        <f t="shared" si="1"/>
        <v>5208</v>
      </c>
      <c r="G40">
        <f t="shared" si="2"/>
        <v>0.40549599999940256</v>
      </c>
      <c r="I40">
        <f t="shared" si="4"/>
        <v>0.40549599999940256</v>
      </c>
      <c r="Q40" s="2">
        <f t="shared" si="3"/>
        <v>22888.947999999997</v>
      </c>
      <c r="R40">
        <f t="shared" si="5"/>
        <v>0.16442700601551546</v>
      </c>
    </row>
    <row r="41" spans="1:18">
      <c r="A41" s="48" t="s">
        <v>76</v>
      </c>
      <c r="B41" s="49" t="s">
        <v>50</v>
      </c>
      <c r="C41" s="48">
        <v>37988.322999999997</v>
      </c>
      <c r="D41" s="48" t="s">
        <v>61</v>
      </c>
      <c r="E41">
        <f t="shared" si="0"/>
        <v>5241.2012844178334</v>
      </c>
      <c r="F41">
        <f t="shared" si="1"/>
        <v>5241</v>
      </c>
      <c r="G41">
        <f t="shared" si="2"/>
        <v>0.49276699999609264</v>
      </c>
      <c r="I41">
        <f t="shared" si="4"/>
        <v>0.49276699999609264</v>
      </c>
      <c r="Q41" s="2">
        <f t="shared" si="3"/>
        <v>22969.822999999997</v>
      </c>
      <c r="R41">
        <f t="shared" si="5"/>
        <v>0.24281931628514916</v>
      </c>
    </row>
    <row r="42" spans="1:18">
      <c r="A42" s="48" t="s">
        <v>76</v>
      </c>
      <c r="B42" s="49" t="s">
        <v>50</v>
      </c>
      <c r="C42" s="48">
        <v>38088.68</v>
      </c>
      <c r="D42" s="48" t="s">
        <v>61</v>
      </c>
      <c r="E42">
        <f t="shared" si="0"/>
        <v>5282.1948986831894</v>
      </c>
      <c r="F42">
        <f t="shared" si="1"/>
        <v>5282</v>
      </c>
      <c r="G42">
        <f t="shared" si="2"/>
        <v>0.47713400000066031</v>
      </c>
      <c r="I42">
        <f t="shared" si="4"/>
        <v>0.47713400000066031</v>
      </c>
      <c r="Q42" s="2">
        <f t="shared" si="3"/>
        <v>23070.18</v>
      </c>
      <c r="R42">
        <f t="shared" si="5"/>
        <v>0.2276568539566301</v>
      </c>
    </row>
    <row r="43" spans="1:18">
      <c r="A43" s="48" t="s">
        <v>76</v>
      </c>
      <c r="B43" s="49" t="s">
        <v>50</v>
      </c>
      <c r="C43" s="48">
        <v>38284.425000000003</v>
      </c>
      <c r="D43" s="48" t="s">
        <v>61</v>
      </c>
      <c r="E43">
        <f t="shared" si="0"/>
        <v>5362.1524006449054</v>
      </c>
      <c r="F43">
        <f t="shared" si="1"/>
        <v>5362</v>
      </c>
      <c r="G43">
        <f t="shared" si="2"/>
        <v>0.37309400000231108</v>
      </c>
      <c r="I43">
        <f t="shared" si="4"/>
        <v>0.37309400000231108</v>
      </c>
      <c r="Q43" s="2">
        <f t="shared" si="3"/>
        <v>23265.925000000003</v>
      </c>
      <c r="R43">
        <f t="shared" si="5"/>
        <v>0.1391991328377245</v>
      </c>
    </row>
    <row r="44" spans="1:18">
      <c r="A44" s="48" t="s">
        <v>76</v>
      </c>
      <c r="B44" s="49" t="s">
        <v>50</v>
      </c>
      <c r="C44" s="48">
        <v>38311.343999999997</v>
      </c>
      <c r="D44" s="48" t="s">
        <v>61</v>
      </c>
      <c r="E44">
        <f t="shared" si="0"/>
        <v>5373.1482166060132</v>
      </c>
      <c r="F44">
        <f t="shared" si="1"/>
        <v>5373</v>
      </c>
      <c r="G44">
        <f t="shared" si="2"/>
        <v>0.36285099999804515</v>
      </c>
      <c r="I44">
        <f t="shared" si="4"/>
        <v>0.36285099999804515</v>
      </c>
      <c r="Q44" s="2">
        <f t="shared" si="3"/>
        <v>23292.843999999997</v>
      </c>
      <c r="R44">
        <f t="shared" si="5"/>
        <v>0.13166084819958138</v>
      </c>
    </row>
    <row r="45" spans="1:18">
      <c r="A45" s="48" t="s">
        <v>76</v>
      </c>
      <c r="B45" s="49" t="s">
        <v>37</v>
      </c>
      <c r="C45" s="48">
        <v>38370.271000000001</v>
      </c>
      <c r="D45" s="48" t="s">
        <v>61</v>
      </c>
      <c r="E45">
        <f t="shared" si="0"/>
        <v>5397.2185924424239</v>
      </c>
      <c r="F45">
        <f t="shared" si="1"/>
        <v>5397</v>
      </c>
      <c r="G45">
        <f t="shared" si="2"/>
        <v>0.53513899999961723</v>
      </c>
      <c r="I45">
        <f t="shared" si="4"/>
        <v>0.53513899999961723</v>
      </c>
      <c r="Q45" s="2">
        <f t="shared" si="3"/>
        <v>23351.771000000001</v>
      </c>
      <c r="R45">
        <f t="shared" si="5"/>
        <v>0.28637374932059034</v>
      </c>
    </row>
    <row r="46" spans="1:18">
      <c r="A46" s="48" t="s">
        <v>76</v>
      </c>
      <c r="B46" s="49" t="s">
        <v>37</v>
      </c>
      <c r="C46" s="48">
        <v>38590.510999999999</v>
      </c>
      <c r="D46" s="48" t="s">
        <v>61</v>
      </c>
      <c r="E46">
        <f t="shared" si="0"/>
        <v>5487.181759992287</v>
      </c>
      <c r="F46">
        <f t="shared" si="1"/>
        <v>5487</v>
      </c>
      <c r="G46">
        <f t="shared" si="2"/>
        <v>0.44496899999649031</v>
      </c>
      <c r="I46">
        <f t="shared" si="4"/>
        <v>0.44496899999649031</v>
      </c>
      <c r="Q46" s="2">
        <f t="shared" si="3"/>
        <v>23572.010999999999</v>
      </c>
      <c r="R46">
        <f t="shared" si="5"/>
        <v>0.1979974109578766</v>
      </c>
    </row>
    <row r="47" spans="1:18">
      <c r="A47" s="48" t="s">
        <v>76</v>
      </c>
      <c r="B47" s="49" t="s">
        <v>50</v>
      </c>
      <c r="C47" s="48">
        <v>38671.362999999998</v>
      </c>
      <c r="D47" s="48" t="s">
        <v>61</v>
      </c>
      <c r="E47">
        <f t="shared" si="0"/>
        <v>5520.2080132738956</v>
      </c>
      <c r="F47">
        <f t="shared" si="1"/>
        <v>5520</v>
      </c>
      <c r="G47">
        <f t="shared" si="2"/>
        <v>0.50923999999940861</v>
      </c>
      <c r="I47">
        <f t="shared" si="4"/>
        <v>0.50923999999940861</v>
      </c>
      <c r="Q47" s="2">
        <f t="shared" si="3"/>
        <v>23652.862999999998</v>
      </c>
      <c r="R47">
        <f t="shared" si="5"/>
        <v>0.25932537759939767</v>
      </c>
    </row>
    <row r="48" spans="1:18">
      <c r="A48" s="48" t="s">
        <v>76</v>
      </c>
      <c r="B48" s="49" t="s">
        <v>50</v>
      </c>
      <c r="C48" s="48">
        <v>39021.330999999998</v>
      </c>
      <c r="D48" s="48" t="s">
        <v>61</v>
      </c>
      <c r="E48">
        <f t="shared" si="0"/>
        <v>5663.1621988037305</v>
      </c>
      <c r="F48">
        <f t="shared" si="1"/>
        <v>5663</v>
      </c>
      <c r="G48">
        <f t="shared" si="2"/>
        <v>0.3970809999955236</v>
      </c>
      <c r="I48">
        <f t="shared" si="4"/>
        <v>0.3970809999955236</v>
      </c>
      <c r="Q48" s="2">
        <f t="shared" si="3"/>
        <v>24002.830999999998</v>
      </c>
      <c r="R48">
        <f t="shared" si="5"/>
        <v>0.15767332055744501</v>
      </c>
    </row>
    <row r="49" spans="1:18">
      <c r="A49" s="48" t="s">
        <v>76</v>
      </c>
      <c r="B49" s="49" t="s">
        <v>50</v>
      </c>
      <c r="C49" s="48">
        <v>39026.358999999997</v>
      </c>
      <c r="D49" s="48" t="s">
        <v>61</v>
      </c>
      <c r="E49">
        <f t="shared" si="0"/>
        <v>5665.2160255674453</v>
      </c>
      <c r="F49">
        <f t="shared" si="1"/>
        <v>5665</v>
      </c>
      <c r="G49">
        <f t="shared" si="2"/>
        <v>0.52885499999683816</v>
      </c>
      <c r="I49">
        <f t="shared" si="4"/>
        <v>0.52885499999683816</v>
      </c>
      <c r="Q49" s="2">
        <f t="shared" si="3"/>
        <v>24007.858999999997</v>
      </c>
      <c r="R49">
        <f t="shared" si="5"/>
        <v>0.27968761102165568</v>
      </c>
    </row>
    <row r="50" spans="1:18">
      <c r="A50" s="48" t="s">
        <v>76</v>
      </c>
      <c r="B50" s="49" t="s">
        <v>50</v>
      </c>
      <c r="C50" s="48">
        <v>39349.436999999998</v>
      </c>
      <c r="D50" s="48" t="s">
        <v>61</v>
      </c>
      <c r="E50">
        <f t="shared" si="0"/>
        <v>5797.1862409945934</v>
      </c>
      <c r="F50">
        <f t="shared" si="1"/>
        <v>5797</v>
      </c>
      <c r="G50">
        <f t="shared" si="2"/>
        <v>0.45593899999948917</v>
      </c>
      <c r="I50">
        <f t="shared" si="4"/>
        <v>0.45593899999948917</v>
      </c>
      <c r="Q50" s="2">
        <f t="shared" si="3"/>
        <v>24330.936999999998</v>
      </c>
      <c r="R50">
        <f t="shared" si="5"/>
        <v>0.2078803717205342</v>
      </c>
    </row>
    <row r="51" spans="1:18">
      <c r="A51" s="48" t="s">
        <v>76</v>
      </c>
      <c r="B51" s="49" t="s">
        <v>50</v>
      </c>
      <c r="C51" s="48">
        <v>39682.470999999998</v>
      </c>
      <c r="D51" s="48" t="s">
        <v>61</v>
      </c>
      <c r="E51">
        <f t="shared" si="0"/>
        <v>5933.2232621615085</v>
      </c>
      <c r="F51">
        <f t="shared" si="1"/>
        <v>5933</v>
      </c>
      <c r="G51">
        <f t="shared" si="2"/>
        <v>0.54657099999167258</v>
      </c>
      <c r="I51">
        <f t="shared" si="4"/>
        <v>0.54657099999167258</v>
      </c>
      <c r="Q51" s="2">
        <f t="shared" si="3"/>
        <v>24663.970999999998</v>
      </c>
      <c r="R51">
        <f t="shared" si="5"/>
        <v>0.29873985803189695</v>
      </c>
    </row>
    <row r="52" spans="1:18">
      <c r="A52" s="48" t="s">
        <v>76</v>
      </c>
      <c r="B52" s="49" t="s">
        <v>37</v>
      </c>
      <c r="C52" s="48">
        <v>40507.377999999997</v>
      </c>
      <c r="D52" s="48" t="s">
        <v>61</v>
      </c>
      <c r="E52">
        <f t="shared" si="0"/>
        <v>6270.1795219420001</v>
      </c>
      <c r="F52">
        <f t="shared" si="1"/>
        <v>6270</v>
      </c>
      <c r="G52">
        <f t="shared" si="2"/>
        <v>0.4394899999970221</v>
      </c>
      <c r="I52">
        <f t="shared" si="4"/>
        <v>0.4394899999970221</v>
      </c>
      <c r="Q52" s="2">
        <f t="shared" si="3"/>
        <v>25488.877999999997</v>
      </c>
      <c r="R52">
        <f t="shared" si="5"/>
        <v>0.19315146009738249</v>
      </c>
    </row>
    <row r="53" spans="1:18">
      <c r="A53" s="48" t="s">
        <v>76</v>
      </c>
      <c r="B53" s="49" t="s">
        <v>50</v>
      </c>
      <c r="C53" s="48">
        <v>40512.341999999997</v>
      </c>
      <c r="D53" s="48" t="s">
        <v>61</v>
      </c>
      <c r="E53">
        <f t="shared" ref="E53:E84" si="6">+(C53-C$7)/C$8</f>
        <v>6272.2072061216113</v>
      </c>
      <c r="F53">
        <f t="shared" ref="F53:F84" si="7">ROUND(2*E53,0)/2</f>
        <v>6272</v>
      </c>
      <c r="G53">
        <f t="shared" ref="G53:G84" si="8">+C53-(C$7+F53*C$8)</f>
        <v>0.5072639999925741</v>
      </c>
      <c r="I53">
        <f t="shared" si="4"/>
        <v>0.5072639999925741</v>
      </c>
      <c r="Q53" s="2">
        <f t="shared" ref="Q53:Q84" si="9">+C53-15018.5</f>
        <v>25493.841999999997</v>
      </c>
      <c r="R53">
        <f t="shared" si="5"/>
        <v>0.25731676568846623</v>
      </c>
    </row>
    <row r="54" spans="1:18">
      <c r="A54" s="48" t="s">
        <v>170</v>
      </c>
      <c r="B54" s="49" t="s">
        <v>50</v>
      </c>
      <c r="C54" s="48">
        <v>40916.275999999998</v>
      </c>
      <c r="D54" s="48" t="s">
        <v>61</v>
      </c>
      <c r="E54">
        <f t="shared" si="6"/>
        <v>6437.2053087418744</v>
      </c>
      <c r="F54">
        <f t="shared" si="7"/>
        <v>6437</v>
      </c>
      <c r="G54">
        <f t="shared" si="8"/>
        <v>0.50261899999895832</v>
      </c>
      <c r="I54">
        <f t="shared" ref="I54:I85" si="10">+G54</f>
        <v>0.50261899999895832</v>
      </c>
      <c r="Q54" s="2">
        <f t="shared" si="9"/>
        <v>25897.775999999998</v>
      </c>
      <c r="R54">
        <f t="shared" ref="R54:R85" si="11">+(O54-G54)^2</f>
        <v>0.25262585915995284</v>
      </c>
    </row>
    <row r="55" spans="1:18">
      <c r="A55" s="48" t="s">
        <v>170</v>
      </c>
      <c r="B55" s="49" t="s">
        <v>50</v>
      </c>
      <c r="C55" s="48">
        <v>41163.519</v>
      </c>
      <c r="D55" s="48" t="s">
        <v>61</v>
      </c>
      <c r="E55">
        <f t="shared" si="6"/>
        <v>6538.1986043944862</v>
      </c>
      <c r="F55">
        <f t="shared" si="7"/>
        <v>6538</v>
      </c>
      <c r="G55">
        <f t="shared" si="8"/>
        <v>0.48620600000140257</v>
      </c>
      <c r="I55">
        <f t="shared" si="10"/>
        <v>0.48620600000140257</v>
      </c>
      <c r="Q55" s="2">
        <f t="shared" si="9"/>
        <v>26145.019</v>
      </c>
      <c r="R55">
        <f t="shared" si="11"/>
        <v>0.23639627443736388</v>
      </c>
    </row>
    <row r="56" spans="1:18">
      <c r="A56" s="48" t="s">
        <v>170</v>
      </c>
      <c r="B56" s="49" t="s">
        <v>50</v>
      </c>
      <c r="C56" s="48">
        <v>41217.336000000003</v>
      </c>
      <c r="D56" s="48" t="s">
        <v>61</v>
      </c>
      <c r="E56">
        <f t="shared" si="6"/>
        <v>6560.1816582812971</v>
      </c>
      <c r="F56">
        <f t="shared" si="7"/>
        <v>6560</v>
      </c>
      <c r="G56">
        <f t="shared" si="8"/>
        <v>0.4447199999995064</v>
      </c>
      <c r="I56">
        <f t="shared" si="10"/>
        <v>0.4447199999995064</v>
      </c>
      <c r="Q56" s="2">
        <f t="shared" si="9"/>
        <v>26198.836000000003</v>
      </c>
      <c r="R56">
        <f t="shared" si="11"/>
        <v>0.19777587839956098</v>
      </c>
    </row>
    <row r="57" spans="1:18">
      <c r="A57" s="48" t="s">
        <v>76</v>
      </c>
      <c r="B57" s="49" t="s">
        <v>50</v>
      </c>
      <c r="C57" s="48">
        <v>41217.398999999998</v>
      </c>
      <c r="D57" s="48" t="s">
        <v>61</v>
      </c>
      <c r="E57">
        <f t="shared" si="6"/>
        <v>6560.2073923875232</v>
      </c>
      <c r="F57">
        <f t="shared" si="7"/>
        <v>6560</v>
      </c>
      <c r="G57">
        <f t="shared" si="8"/>
        <v>0.50771999999415129</v>
      </c>
      <c r="I57">
        <f t="shared" si="10"/>
        <v>0.50771999999415129</v>
      </c>
      <c r="Q57" s="2">
        <f t="shared" si="9"/>
        <v>26198.898999999998</v>
      </c>
      <c r="R57">
        <f t="shared" si="11"/>
        <v>0.257779598394061</v>
      </c>
    </row>
    <row r="58" spans="1:18">
      <c r="A58" s="48" t="s">
        <v>170</v>
      </c>
      <c r="B58" s="49" t="s">
        <v>37</v>
      </c>
      <c r="C58" s="48">
        <v>41572.370999999999</v>
      </c>
      <c r="D58" s="48" t="s">
        <v>61</v>
      </c>
      <c r="E58">
        <f t="shared" si="6"/>
        <v>6705.2056012120347</v>
      </c>
      <c r="F58">
        <f t="shared" si="7"/>
        <v>6705</v>
      </c>
      <c r="G58">
        <f t="shared" si="8"/>
        <v>0.50333500000124332</v>
      </c>
      <c r="I58">
        <f t="shared" si="10"/>
        <v>0.50333500000124332</v>
      </c>
      <c r="Q58" s="2">
        <f t="shared" si="9"/>
        <v>26553.870999999999</v>
      </c>
      <c r="R58">
        <f t="shared" si="11"/>
        <v>0.25334612222625164</v>
      </c>
    </row>
    <row r="59" spans="1:18">
      <c r="A59" s="48" t="s">
        <v>76</v>
      </c>
      <c r="B59" s="49" t="s">
        <v>37</v>
      </c>
      <c r="C59" s="48">
        <v>41599.353000000003</v>
      </c>
      <c r="D59" s="48" t="s">
        <v>61</v>
      </c>
      <c r="E59">
        <f t="shared" si="6"/>
        <v>6716.2271512793732</v>
      </c>
      <c r="F59">
        <f t="shared" si="7"/>
        <v>6716</v>
      </c>
      <c r="G59">
        <f t="shared" si="8"/>
        <v>0.55609199999889825</v>
      </c>
      <c r="I59">
        <f t="shared" si="10"/>
        <v>0.55609199999889825</v>
      </c>
      <c r="Q59" s="2">
        <f t="shared" si="9"/>
        <v>26580.853000000003</v>
      </c>
      <c r="R59">
        <f t="shared" si="11"/>
        <v>0.30923831246277467</v>
      </c>
    </row>
    <row r="60" spans="1:18">
      <c r="A60" s="48" t="s">
        <v>76</v>
      </c>
      <c r="B60" s="49" t="s">
        <v>50</v>
      </c>
      <c r="C60" s="48">
        <v>41900.387000000002</v>
      </c>
      <c r="D60" s="48" t="s">
        <v>61</v>
      </c>
      <c r="E60">
        <f t="shared" si="6"/>
        <v>6839.1928803940018</v>
      </c>
      <c r="F60">
        <f t="shared" si="7"/>
        <v>6839</v>
      </c>
      <c r="G60">
        <f t="shared" si="8"/>
        <v>0.47219300000142539</v>
      </c>
      <c r="I60">
        <f t="shared" si="10"/>
        <v>0.47219300000142539</v>
      </c>
      <c r="Q60" s="2">
        <f t="shared" si="9"/>
        <v>26881.887000000002</v>
      </c>
      <c r="R60">
        <f t="shared" si="11"/>
        <v>0.22296622925034612</v>
      </c>
    </row>
    <row r="61" spans="1:18">
      <c r="A61" s="48" t="s">
        <v>76</v>
      </c>
      <c r="B61" s="49" t="s">
        <v>50</v>
      </c>
      <c r="C61" s="48">
        <v>41900.428</v>
      </c>
      <c r="D61" s="48" t="s">
        <v>61</v>
      </c>
      <c r="E61">
        <f t="shared" si="6"/>
        <v>6839.2096279869429</v>
      </c>
      <c r="F61">
        <f t="shared" si="7"/>
        <v>6839</v>
      </c>
      <c r="G61">
        <f t="shared" si="8"/>
        <v>0.51319299999886425</v>
      </c>
      <c r="I61">
        <f t="shared" si="10"/>
        <v>0.51319299999886425</v>
      </c>
      <c r="Q61" s="2">
        <f t="shared" si="9"/>
        <v>26881.928</v>
      </c>
      <c r="R61">
        <f t="shared" si="11"/>
        <v>0.26336705524783427</v>
      </c>
    </row>
    <row r="62" spans="1:18">
      <c r="A62" s="48" t="s">
        <v>76</v>
      </c>
      <c r="B62" s="49" t="s">
        <v>50</v>
      </c>
      <c r="C62" s="48">
        <v>41900.455000000002</v>
      </c>
      <c r="D62" s="48" t="s">
        <v>61</v>
      </c>
      <c r="E62">
        <f t="shared" si="6"/>
        <v>6839.2206568896127</v>
      </c>
      <c r="F62">
        <f t="shared" si="7"/>
        <v>6839</v>
      </c>
      <c r="G62">
        <f t="shared" si="8"/>
        <v>0.5401930000007269</v>
      </c>
      <c r="I62">
        <f t="shared" si="10"/>
        <v>0.5401930000007269</v>
      </c>
      <c r="Q62" s="2">
        <f t="shared" si="9"/>
        <v>26881.955000000002</v>
      </c>
      <c r="R62">
        <f t="shared" si="11"/>
        <v>0.29180847724978531</v>
      </c>
    </row>
    <row r="63" spans="1:18">
      <c r="A63" s="48" t="s">
        <v>76</v>
      </c>
      <c r="B63" s="49" t="s">
        <v>37</v>
      </c>
      <c r="C63" s="48">
        <v>41922.434000000001</v>
      </c>
      <c r="D63" s="48" t="s">
        <v>61</v>
      </c>
      <c r="E63">
        <f t="shared" si="6"/>
        <v>6848.1985921401501</v>
      </c>
      <c r="F63">
        <f t="shared" si="7"/>
        <v>6848</v>
      </c>
      <c r="G63">
        <f t="shared" si="8"/>
        <v>0.48617599999852246</v>
      </c>
      <c r="I63">
        <f t="shared" si="10"/>
        <v>0.48617599999852246</v>
      </c>
      <c r="Q63" s="2">
        <f t="shared" si="9"/>
        <v>26903.934000000001</v>
      </c>
      <c r="R63">
        <f t="shared" si="11"/>
        <v>0.23636710297456331</v>
      </c>
    </row>
    <row r="64" spans="1:18">
      <c r="A64" s="48" t="s">
        <v>170</v>
      </c>
      <c r="B64" s="49" t="s">
        <v>50</v>
      </c>
      <c r="C64" s="48">
        <v>41927.4</v>
      </c>
      <c r="D64" s="48" t="s">
        <v>61</v>
      </c>
      <c r="E64">
        <f t="shared" si="6"/>
        <v>6850.2270932755146</v>
      </c>
      <c r="F64">
        <f t="shared" si="7"/>
        <v>6850</v>
      </c>
      <c r="G64">
        <f t="shared" si="8"/>
        <v>0.55595000000175787</v>
      </c>
      <c r="I64">
        <f t="shared" si="10"/>
        <v>0.55595000000175787</v>
      </c>
      <c r="Q64" s="2">
        <f t="shared" si="9"/>
        <v>26908.9</v>
      </c>
      <c r="R64">
        <f t="shared" si="11"/>
        <v>0.30908040250195457</v>
      </c>
    </row>
    <row r="65" spans="1:18">
      <c r="A65" s="48" t="s">
        <v>76</v>
      </c>
      <c r="B65" s="49" t="s">
        <v>50</v>
      </c>
      <c r="C65" s="48">
        <v>42358.286</v>
      </c>
      <c r="D65" s="48" t="s">
        <v>61</v>
      </c>
      <c r="E65">
        <f t="shared" si="6"/>
        <v>7026.2344916268157</v>
      </c>
      <c r="F65">
        <f t="shared" si="7"/>
        <v>7026</v>
      </c>
      <c r="G65">
        <f t="shared" si="8"/>
        <v>0.57406199999968521</v>
      </c>
      <c r="I65">
        <f t="shared" si="10"/>
        <v>0.57406199999968521</v>
      </c>
      <c r="Q65" s="2">
        <f t="shared" si="9"/>
        <v>27339.786</v>
      </c>
      <c r="R65">
        <f t="shared" si="11"/>
        <v>0.32954717984363857</v>
      </c>
    </row>
    <row r="66" spans="1:18">
      <c r="A66" s="48" t="s">
        <v>76</v>
      </c>
      <c r="B66" s="49" t="s">
        <v>50</v>
      </c>
      <c r="C66" s="48">
        <v>42600.487000000001</v>
      </c>
      <c r="D66" s="48" t="s">
        <v>61</v>
      </c>
      <c r="E66">
        <f t="shared" si="6"/>
        <v>7125.1682418254386</v>
      </c>
      <c r="F66">
        <f t="shared" si="7"/>
        <v>7125</v>
      </c>
      <c r="G66">
        <f t="shared" si="8"/>
        <v>0.41187499999796273</v>
      </c>
      <c r="I66">
        <f t="shared" si="10"/>
        <v>0.41187499999796273</v>
      </c>
      <c r="Q66" s="2">
        <f t="shared" si="9"/>
        <v>27581.987000000001</v>
      </c>
      <c r="R66">
        <f t="shared" si="11"/>
        <v>0.16964101562332179</v>
      </c>
    </row>
    <row r="67" spans="1:18">
      <c r="A67" s="48" t="s">
        <v>76</v>
      </c>
      <c r="B67" s="49" t="s">
        <v>50</v>
      </c>
      <c r="C67" s="48">
        <v>42627.463000000003</v>
      </c>
      <c r="D67" s="48" t="s">
        <v>61</v>
      </c>
      <c r="E67">
        <f t="shared" si="6"/>
        <v>7136.1873410255166</v>
      </c>
      <c r="F67">
        <f t="shared" si="7"/>
        <v>7136</v>
      </c>
      <c r="G67">
        <f t="shared" si="8"/>
        <v>0.45863200000167126</v>
      </c>
      <c r="I67">
        <f t="shared" si="10"/>
        <v>0.45863200000167126</v>
      </c>
      <c r="Q67" s="2">
        <f t="shared" si="9"/>
        <v>27608.963000000003</v>
      </c>
      <c r="R67">
        <f t="shared" si="11"/>
        <v>0.21034331142553298</v>
      </c>
    </row>
    <row r="68" spans="1:18">
      <c r="A68" s="48" t="s">
        <v>76</v>
      </c>
      <c r="B68" s="49" t="s">
        <v>37</v>
      </c>
      <c r="C68" s="48">
        <v>42632.485000000001</v>
      </c>
      <c r="D68" s="48" t="s">
        <v>61</v>
      </c>
      <c r="E68">
        <f t="shared" si="6"/>
        <v>7138.2387169219719</v>
      </c>
      <c r="F68">
        <f t="shared" si="7"/>
        <v>7138</v>
      </c>
      <c r="G68">
        <f t="shared" si="8"/>
        <v>0.5844059999944875</v>
      </c>
      <c r="I68">
        <f t="shared" si="10"/>
        <v>0.5844059999944875</v>
      </c>
      <c r="Q68" s="2">
        <f t="shared" si="9"/>
        <v>27613.985000000001</v>
      </c>
      <c r="R68">
        <f t="shared" si="11"/>
        <v>0.34153037282955695</v>
      </c>
    </row>
    <row r="69" spans="1:18">
      <c r="A69" s="48" t="s">
        <v>76</v>
      </c>
      <c r="B69" s="49" t="s">
        <v>50</v>
      </c>
      <c r="C69" s="48">
        <v>43014.355000000003</v>
      </c>
      <c r="D69" s="48" t="s">
        <v>61</v>
      </c>
      <c r="E69">
        <f t="shared" si="6"/>
        <v>7294.2241636721837</v>
      </c>
      <c r="F69">
        <f t="shared" si="7"/>
        <v>7294</v>
      </c>
      <c r="G69">
        <f t="shared" si="8"/>
        <v>0.54877800000394927</v>
      </c>
      <c r="I69">
        <f t="shared" si="10"/>
        <v>0.54877800000394927</v>
      </c>
      <c r="Q69" s="2">
        <f t="shared" si="9"/>
        <v>27995.855000000003</v>
      </c>
      <c r="R69">
        <f t="shared" si="11"/>
        <v>0.30115729328833457</v>
      </c>
    </row>
    <row r="70" spans="1:18">
      <c r="A70" s="48" t="s">
        <v>76</v>
      </c>
      <c r="B70" s="49" t="s">
        <v>50</v>
      </c>
      <c r="C70" s="48">
        <v>43014.396000000001</v>
      </c>
      <c r="D70" s="48" t="s">
        <v>61</v>
      </c>
      <c r="E70">
        <f t="shared" si="6"/>
        <v>7294.2409112651249</v>
      </c>
      <c r="F70">
        <f t="shared" si="7"/>
        <v>7294</v>
      </c>
      <c r="G70">
        <f t="shared" si="8"/>
        <v>0.58977800000138814</v>
      </c>
      <c r="I70">
        <f t="shared" si="10"/>
        <v>0.58977800000138814</v>
      </c>
      <c r="Q70" s="2">
        <f t="shared" si="9"/>
        <v>27995.896000000001</v>
      </c>
      <c r="R70">
        <f t="shared" si="11"/>
        <v>0.34783808928563736</v>
      </c>
    </row>
    <row r="71" spans="1:18">
      <c r="A71" s="48" t="s">
        <v>76</v>
      </c>
      <c r="B71" s="49" t="s">
        <v>50</v>
      </c>
      <c r="C71" s="48">
        <v>43337.485999999997</v>
      </c>
      <c r="D71" s="48" t="s">
        <v>61</v>
      </c>
      <c r="E71">
        <f t="shared" si="6"/>
        <v>7426.2160284267902</v>
      </c>
      <c r="F71">
        <f t="shared" si="7"/>
        <v>7426</v>
      </c>
      <c r="G71">
        <f t="shared" si="8"/>
        <v>0.52886199999920791</v>
      </c>
      <c r="I71">
        <f t="shared" si="10"/>
        <v>0.52886199999920791</v>
      </c>
      <c r="Q71" s="2">
        <f t="shared" si="9"/>
        <v>28318.985999999997</v>
      </c>
      <c r="R71">
        <f t="shared" si="11"/>
        <v>0.27969501504316219</v>
      </c>
    </row>
    <row r="72" spans="1:18">
      <c r="A72" s="48" t="s">
        <v>170</v>
      </c>
      <c r="B72" s="49" t="s">
        <v>50</v>
      </c>
      <c r="C72" s="48">
        <v>43337.521999999997</v>
      </c>
      <c r="D72" s="48" t="s">
        <v>61</v>
      </c>
      <c r="E72">
        <f t="shared" si="6"/>
        <v>7426.2307336303493</v>
      </c>
      <c r="F72">
        <f t="shared" si="7"/>
        <v>7426</v>
      </c>
      <c r="G72">
        <f t="shared" si="8"/>
        <v>0.56486199999926612</v>
      </c>
      <c r="I72">
        <f t="shared" si="10"/>
        <v>0.56486199999926612</v>
      </c>
      <c r="Q72" s="2">
        <f t="shared" si="9"/>
        <v>28319.021999999997</v>
      </c>
      <c r="R72">
        <f t="shared" si="11"/>
        <v>0.31906907904317089</v>
      </c>
    </row>
    <row r="73" spans="1:18">
      <c r="A73" s="48" t="s">
        <v>170</v>
      </c>
      <c r="B73" s="49" t="s">
        <v>37</v>
      </c>
      <c r="C73" s="48">
        <v>43462.345999999998</v>
      </c>
      <c r="D73" s="48" t="s">
        <v>61</v>
      </c>
      <c r="E73">
        <f t="shared" si="6"/>
        <v>7477.218576103307</v>
      </c>
      <c r="F73">
        <f t="shared" si="7"/>
        <v>7477</v>
      </c>
      <c r="G73">
        <f t="shared" si="8"/>
        <v>0.53509899999335175</v>
      </c>
      <c r="I73">
        <f t="shared" si="10"/>
        <v>0.53509899999335175</v>
      </c>
      <c r="Q73" s="2">
        <f t="shared" si="9"/>
        <v>28443.845999999998</v>
      </c>
      <c r="R73">
        <f t="shared" si="11"/>
        <v>0.28633093979388508</v>
      </c>
    </row>
    <row r="74" spans="1:18">
      <c r="A74" s="48" t="s">
        <v>170</v>
      </c>
      <c r="B74" s="49" t="s">
        <v>37</v>
      </c>
      <c r="C74" s="48">
        <v>43462.398999999998</v>
      </c>
      <c r="D74" s="48" t="s">
        <v>61</v>
      </c>
      <c r="E74">
        <f t="shared" si="6"/>
        <v>7477.240225430769</v>
      </c>
      <c r="F74">
        <f t="shared" si="7"/>
        <v>7477</v>
      </c>
      <c r="G74">
        <f t="shared" si="8"/>
        <v>0.58809899999323534</v>
      </c>
      <c r="I74">
        <f t="shared" si="10"/>
        <v>0.58809899999323534</v>
      </c>
      <c r="Q74" s="2">
        <f t="shared" si="9"/>
        <v>28443.898999999998</v>
      </c>
      <c r="R74">
        <f t="shared" si="11"/>
        <v>0.34586043379304343</v>
      </c>
    </row>
    <row r="75" spans="1:18">
      <c r="A75" s="48" t="s">
        <v>76</v>
      </c>
      <c r="B75" s="49" t="s">
        <v>50</v>
      </c>
      <c r="C75" s="48">
        <v>43790.413</v>
      </c>
      <c r="D75" s="48" t="s">
        <v>61</v>
      </c>
      <c r="E75">
        <f t="shared" si="6"/>
        <v>7611.2266876569829</v>
      </c>
      <c r="F75">
        <f t="shared" si="7"/>
        <v>7611</v>
      </c>
      <c r="G75">
        <f t="shared" si="8"/>
        <v>0.55495700000028592</v>
      </c>
      <c r="I75">
        <f t="shared" si="10"/>
        <v>0.55495700000028592</v>
      </c>
      <c r="Q75" s="2">
        <f t="shared" si="9"/>
        <v>28771.913</v>
      </c>
      <c r="R75">
        <f t="shared" si="11"/>
        <v>0.30797727184931734</v>
      </c>
    </row>
    <row r="76" spans="1:18">
      <c r="A76" s="48" t="s">
        <v>170</v>
      </c>
      <c r="B76" s="49" t="s">
        <v>37</v>
      </c>
      <c r="C76" s="48">
        <v>44015.55</v>
      </c>
      <c r="D76" s="48" t="s">
        <v>61</v>
      </c>
      <c r="E76">
        <f t="shared" si="6"/>
        <v>7703.1901713687239</v>
      </c>
      <c r="F76">
        <f t="shared" si="7"/>
        <v>7703</v>
      </c>
      <c r="G76">
        <f t="shared" si="8"/>
        <v>0.46556100000452716</v>
      </c>
      <c r="I76">
        <f t="shared" si="10"/>
        <v>0.46556100000452716</v>
      </c>
      <c r="Q76" s="2">
        <f t="shared" si="9"/>
        <v>28997.050000000003</v>
      </c>
      <c r="R76">
        <f t="shared" si="11"/>
        <v>0.21674704472521533</v>
      </c>
    </row>
    <row r="77" spans="1:18">
      <c r="A77" s="48" t="s">
        <v>170</v>
      </c>
      <c r="B77" s="49" t="s">
        <v>50</v>
      </c>
      <c r="C77" s="48">
        <v>44221.315999999999</v>
      </c>
      <c r="D77" s="48" t="s">
        <v>61</v>
      </c>
      <c r="E77">
        <f t="shared" si="6"/>
        <v>7787.2410301321861</v>
      </c>
      <c r="F77">
        <f t="shared" si="7"/>
        <v>7787</v>
      </c>
      <c r="G77">
        <f t="shared" si="8"/>
        <v>0.59006899999803863</v>
      </c>
      <c r="I77">
        <f t="shared" si="10"/>
        <v>0.59006899999803863</v>
      </c>
      <c r="Q77" s="2">
        <f t="shared" si="9"/>
        <v>29202.815999999999</v>
      </c>
      <c r="R77">
        <f t="shared" si="11"/>
        <v>0.3481814247586853</v>
      </c>
    </row>
    <row r="78" spans="1:18">
      <c r="A78" s="48" t="s">
        <v>76</v>
      </c>
      <c r="B78" s="49" t="s">
        <v>50</v>
      </c>
      <c r="C78" s="48">
        <v>44571.249000000003</v>
      </c>
      <c r="D78" s="48" t="s">
        <v>61</v>
      </c>
      <c r="E78">
        <f t="shared" si="6"/>
        <v>7930.1809189363403</v>
      </c>
      <c r="F78">
        <f t="shared" si="7"/>
        <v>7930</v>
      </c>
      <c r="G78">
        <f t="shared" si="8"/>
        <v>0.44291000000521308</v>
      </c>
      <c r="I78">
        <f t="shared" si="10"/>
        <v>0.44291000000521308</v>
      </c>
      <c r="Q78" s="2">
        <f t="shared" si="9"/>
        <v>29552.749000000003</v>
      </c>
      <c r="R78">
        <f t="shared" si="11"/>
        <v>0.19616926810461785</v>
      </c>
    </row>
    <row r="79" spans="1:18">
      <c r="A79" s="48" t="s">
        <v>170</v>
      </c>
      <c r="B79" s="49" t="s">
        <v>50</v>
      </c>
      <c r="C79" s="48">
        <v>45227.396000000001</v>
      </c>
      <c r="D79" s="48" t="s">
        <v>61</v>
      </c>
      <c r="E79">
        <f t="shared" si="6"/>
        <v>8198.2024522560841</v>
      </c>
      <c r="F79">
        <f t="shared" si="7"/>
        <v>8198</v>
      </c>
      <c r="G79">
        <f t="shared" si="8"/>
        <v>0.495625999996264</v>
      </c>
      <c r="I79">
        <f t="shared" si="10"/>
        <v>0.495625999996264</v>
      </c>
      <c r="Q79" s="2">
        <f t="shared" si="9"/>
        <v>30208.896000000001</v>
      </c>
      <c r="R79">
        <f t="shared" si="11"/>
        <v>0.2456451318722967</v>
      </c>
    </row>
    <row r="80" spans="1:18">
      <c r="A80" s="48" t="s">
        <v>76</v>
      </c>
      <c r="B80" s="49" t="s">
        <v>50</v>
      </c>
      <c r="C80" s="48">
        <v>45905.466</v>
      </c>
      <c r="D80" s="48" t="s">
        <v>61</v>
      </c>
      <c r="E80">
        <f t="shared" si="6"/>
        <v>8475.1790460652755</v>
      </c>
      <c r="F80">
        <f t="shared" si="7"/>
        <v>8475</v>
      </c>
      <c r="G80">
        <f t="shared" si="8"/>
        <v>0.43832499999552965</v>
      </c>
      <c r="I80">
        <f t="shared" si="10"/>
        <v>0.43832499999552965</v>
      </c>
      <c r="Q80" s="2">
        <f t="shared" si="9"/>
        <v>30886.966</v>
      </c>
      <c r="R80">
        <f t="shared" si="11"/>
        <v>0.19212880562108106</v>
      </c>
    </row>
    <row r="81" spans="1:31">
      <c r="A81" s="48" t="s">
        <v>76</v>
      </c>
      <c r="B81" s="49" t="s">
        <v>37</v>
      </c>
      <c r="C81" s="48">
        <v>46260.485000000001</v>
      </c>
      <c r="D81" s="48" t="s">
        <v>61</v>
      </c>
      <c r="E81">
        <f t="shared" si="6"/>
        <v>8620.1964533499868</v>
      </c>
      <c r="F81">
        <f t="shared" si="7"/>
        <v>8620</v>
      </c>
      <c r="G81">
        <f t="shared" si="8"/>
        <v>0.48093999999400694</v>
      </c>
      <c r="I81">
        <f t="shared" si="10"/>
        <v>0.48093999999400694</v>
      </c>
      <c r="Q81" s="2">
        <f t="shared" si="9"/>
        <v>31241.985000000001</v>
      </c>
      <c r="R81">
        <f t="shared" si="11"/>
        <v>0.23130328359423538</v>
      </c>
    </row>
    <row r="82" spans="1:31">
      <c r="A82" s="48" t="s">
        <v>76</v>
      </c>
      <c r="B82" s="49" t="s">
        <v>50</v>
      </c>
      <c r="C82" s="48">
        <v>46385.27</v>
      </c>
      <c r="D82" s="48" t="s">
        <v>61</v>
      </c>
      <c r="E82">
        <f t="shared" si="6"/>
        <v>8671.1683651857547</v>
      </c>
      <c r="F82">
        <f t="shared" si="7"/>
        <v>8671</v>
      </c>
      <c r="G82">
        <f t="shared" si="8"/>
        <v>0.41217699999833712</v>
      </c>
      <c r="I82">
        <f t="shared" si="10"/>
        <v>0.41217699999833712</v>
      </c>
      <c r="Q82" s="2">
        <f t="shared" si="9"/>
        <v>31366.769999999997</v>
      </c>
      <c r="R82">
        <f t="shared" si="11"/>
        <v>0.1698898793276292</v>
      </c>
    </row>
    <row r="83" spans="1:31">
      <c r="A83" s="48" t="s">
        <v>76</v>
      </c>
      <c r="B83" s="49" t="s">
        <v>37</v>
      </c>
      <c r="C83" s="48">
        <v>47413.529000000002</v>
      </c>
      <c r="D83" s="48" t="s">
        <v>61</v>
      </c>
      <c r="E83">
        <f t="shared" si="6"/>
        <v>9091.1894181355183</v>
      </c>
      <c r="F83">
        <f t="shared" si="7"/>
        <v>9091</v>
      </c>
      <c r="G83">
        <f t="shared" si="8"/>
        <v>0.46371699999872362</v>
      </c>
      <c r="I83">
        <f t="shared" si="10"/>
        <v>0.46371699999872362</v>
      </c>
      <c r="Q83" s="2">
        <f t="shared" si="9"/>
        <v>32395.029000000002</v>
      </c>
      <c r="R83">
        <f t="shared" si="11"/>
        <v>0.21503345608781624</v>
      </c>
    </row>
    <row r="84" spans="1:31">
      <c r="A84" s="48" t="s">
        <v>76</v>
      </c>
      <c r="B84" s="49" t="s">
        <v>50</v>
      </c>
      <c r="C84" s="48">
        <v>47445.309000000001</v>
      </c>
      <c r="D84" s="48" t="s">
        <v>61</v>
      </c>
      <c r="E84">
        <f t="shared" si="6"/>
        <v>9104.1708450549468</v>
      </c>
      <c r="F84">
        <f t="shared" si="7"/>
        <v>9104</v>
      </c>
      <c r="G84">
        <f t="shared" si="8"/>
        <v>0.41824799999449169</v>
      </c>
      <c r="I84">
        <f t="shared" si="10"/>
        <v>0.41824799999449169</v>
      </c>
      <c r="Q84" s="2">
        <f t="shared" si="9"/>
        <v>32426.809000000001</v>
      </c>
      <c r="R84">
        <f t="shared" si="11"/>
        <v>0.17493138949939233</v>
      </c>
    </row>
    <row r="85" spans="1:31">
      <c r="A85" s="48" t="s">
        <v>76</v>
      </c>
      <c r="B85" s="49" t="s">
        <v>50</v>
      </c>
      <c r="C85" s="48">
        <v>47445.345999999998</v>
      </c>
      <c r="D85" s="48" t="s">
        <v>61</v>
      </c>
      <c r="E85">
        <f t="shared" ref="E85:E100" si="12">+(C85-C$7)/C$8</f>
        <v>9104.1859587363797</v>
      </c>
      <c r="F85">
        <f t="shared" ref="F85:F100" si="13">ROUND(2*E85,0)/2</f>
        <v>9104</v>
      </c>
      <c r="G85">
        <f t="shared" ref="G85:G100" si="14">+C85-(C$7+F85*C$8)</f>
        <v>0.45524799999111565</v>
      </c>
      <c r="I85">
        <f t="shared" si="10"/>
        <v>0.45524799999111565</v>
      </c>
      <c r="Q85" s="2">
        <f t="shared" ref="Q85:Q100" si="15">+C85-15018.5</f>
        <v>32426.845999999998</v>
      </c>
      <c r="R85">
        <f t="shared" si="11"/>
        <v>0.20725074149591083</v>
      </c>
    </row>
    <row r="86" spans="1:31">
      <c r="A86" s="48" t="s">
        <v>76</v>
      </c>
      <c r="B86" s="49" t="s">
        <v>50</v>
      </c>
      <c r="C86" s="48">
        <v>47445.394</v>
      </c>
      <c r="D86" s="48" t="s">
        <v>61</v>
      </c>
      <c r="E86">
        <f t="shared" si="12"/>
        <v>9104.2055656744596</v>
      </c>
      <c r="F86">
        <f t="shared" si="13"/>
        <v>9104</v>
      </c>
      <c r="G86">
        <f t="shared" si="14"/>
        <v>0.50324799999361858</v>
      </c>
      <c r="I86">
        <f t="shared" ref="I86:I92" si="16">+G86</f>
        <v>0.50324799999361858</v>
      </c>
      <c r="Q86" s="2">
        <f t="shared" si="15"/>
        <v>32426.894</v>
      </c>
      <c r="R86">
        <f t="shared" ref="R86:R100" si="17">+(O86-G86)^2</f>
        <v>0.25325854949757715</v>
      </c>
    </row>
    <row r="87" spans="1:31">
      <c r="A87" s="48" t="s">
        <v>270</v>
      </c>
      <c r="B87" s="49" t="s">
        <v>37</v>
      </c>
      <c r="C87" s="48">
        <v>47626.546999999999</v>
      </c>
      <c r="D87" s="48" t="s">
        <v>61</v>
      </c>
      <c r="E87">
        <f t="shared" si="12"/>
        <v>9178.2025584603307</v>
      </c>
      <c r="F87">
        <f t="shared" si="13"/>
        <v>9178</v>
      </c>
      <c r="G87">
        <f t="shared" si="14"/>
        <v>0.4958859999969718</v>
      </c>
      <c r="I87">
        <f t="shared" si="16"/>
        <v>0.4958859999969718</v>
      </c>
      <c r="Q87" s="2">
        <f t="shared" si="15"/>
        <v>32608.046999999999</v>
      </c>
      <c r="R87">
        <f t="shared" si="17"/>
        <v>0.24590292499299671</v>
      </c>
    </row>
    <row r="88" spans="1:31">
      <c r="A88" s="48" t="s">
        <v>275</v>
      </c>
      <c r="B88" s="49" t="s">
        <v>50</v>
      </c>
      <c r="C88" s="48">
        <v>47648.578000000001</v>
      </c>
      <c r="D88" s="48" t="s">
        <v>61</v>
      </c>
      <c r="E88">
        <f t="shared" si="12"/>
        <v>9187.2017345604545</v>
      </c>
      <c r="F88">
        <f t="shared" si="13"/>
        <v>9187</v>
      </c>
      <c r="G88">
        <f t="shared" si="14"/>
        <v>0.4938689999980852</v>
      </c>
      <c r="I88">
        <f t="shared" si="16"/>
        <v>0.4938689999980852</v>
      </c>
      <c r="Q88" s="2">
        <f t="shared" si="15"/>
        <v>32630.078000000001</v>
      </c>
      <c r="R88">
        <f t="shared" si="17"/>
        <v>0.24390658915910868</v>
      </c>
    </row>
    <row r="89" spans="1:31">
      <c r="A89" t="s">
        <v>31</v>
      </c>
      <c r="C89" s="15">
        <v>47800.372000000003</v>
      </c>
      <c r="D89" s="14"/>
      <c r="E89">
        <f t="shared" si="12"/>
        <v>9249.2062253662316</v>
      </c>
      <c r="F89">
        <f t="shared" si="13"/>
        <v>9249</v>
      </c>
      <c r="G89">
        <f t="shared" si="14"/>
        <v>0.50486300000193296</v>
      </c>
      <c r="I89">
        <f t="shared" si="16"/>
        <v>0.50486300000193296</v>
      </c>
      <c r="Q89" s="2">
        <f t="shared" si="15"/>
        <v>32781.872000000003</v>
      </c>
      <c r="R89">
        <f t="shared" si="17"/>
        <v>0.25488664877095174</v>
      </c>
      <c r="AA89">
        <v>5</v>
      </c>
      <c r="AC89" t="s">
        <v>30</v>
      </c>
      <c r="AE89" t="s">
        <v>32</v>
      </c>
    </row>
    <row r="90" spans="1:31">
      <c r="A90" s="48" t="s">
        <v>270</v>
      </c>
      <c r="B90" s="49" t="s">
        <v>50</v>
      </c>
      <c r="C90" s="48">
        <v>47822.398000000001</v>
      </c>
      <c r="D90" s="48" t="s">
        <v>58</v>
      </c>
      <c r="E90">
        <f t="shared" si="12"/>
        <v>9258.2033590769697</v>
      </c>
      <c r="F90">
        <f t="shared" si="13"/>
        <v>9258</v>
      </c>
      <c r="G90">
        <f t="shared" si="14"/>
        <v>0.49784599999838974</v>
      </c>
      <c r="I90">
        <f t="shared" si="16"/>
        <v>0.49784599999838974</v>
      </c>
      <c r="Q90" s="2">
        <f t="shared" si="15"/>
        <v>32803.898000000001</v>
      </c>
      <c r="R90">
        <f t="shared" si="17"/>
        <v>0.24785063971439669</v>
      </c>
    </row>
    <row r="91" spans="1:31">
      <c r="A91" t="s">
        <v>33</v>
      </c>
      <c r="C91" s="15">
        <v>47822.411</v>
      </c>
      <c r="D91" s="14"/>
      <c r="E91">
        <f t="shared" si="12"/>
        <v>9258.2086692893663</v>
      </c>
      <c r="F91">
        <f t="shared" si="13"/>
        <v>9258</v>
      </c>
      <c r="G91">
        <f t="shared" si="14"/>
        <v>0.51084599999740021</v>
      </c>
      <c r="I91">
        <f t="shared" si="16"/>
        <v>0.51084599999740021</v>
      </c>
      <c r="Q91" s="2">
        <f t="shared" si="15"/>
        <v>32803.911</v>
      </c>
      <c r="R91">
        <f t="shared" si="17"/>
        <v>0.2609636357133438</v>
      </c>
      <c r="AA91">
        <v>6</v>
      </c>
      <c r="AC91" t="s">
        <v>30</v>
      </c>
      <c r="AE91" t="s">
        <v>32</v>
      </c>
    </row>
    <row r="92" spans="1:31">
      <c r="A92" t="s">
        <v>34</v>
      </c>
      <c r="C92" s="15">
        <v>48532.357000000004</v>
      </c>
      <c r="D92" s="14">
        <v>5.0000000000000001E-3</v>
      </c>
      <c r="E92">
        <f t="shared" si="12"/>
        <v>9548.2059038941425</v>
      </c>
      <c r="F92">
        <f t="shared" si="13"/>
        <v>9548</v>
      </c>
      <c r="G92">
        <f t="shared" si="14"/>
        <v>0.50407599999743979</v>
      </c>
      <c r="I92">
        <f t="shared" si="16"/>
        <v>0.50407599999743979</v>
      </c>
      <c r="O92">
        <f t="shared" ref="O92:O100" ca="1" si="18">+C$11+C$12*F92</f>
        <v>0.62839380051908755</v>
      </c>
      <c r="Q92" s="2">
        <f t="shared" si="15"/>
        <v>33513.857000000004</v>
      </c>
      <c r="R92">
        <f t="shared" ca="1" si="17"/>
        <v>1.5454915526540203E-2</v>
      </c>
      <c r="AA92">
        <v>5</v>
      </c>
      <c r="AC92" t="s">
        <v>30</v>
      </c>
      <c r="AE92" t="s">
        <v>32</v>
      </c>
    </row>
    <row r="93" spans="1:31">
      <c r="A93" s="48" t="s">
        <v>298</v>
      </c>
      <c r="B93" s="49" t="s">
        <v>50</v>
      </c>
      <c r="C93" s="48">
        <v>54307.454899999997</v>
      </c>
      <c r="D93" s="48" t="s">
        <v>53</v>
      </c>
      <c r="E93">
        <f t="shared" si="12"/>
        <v>11907.205631439396</v>
      </c>
      <c r="F93">
        <f t="shared" si="13"/>
        <v>11907</v>
      </c>
      <c r="G93">
        <f t="shared" si="14"/>
        <v>0.50340899999719113</v>
      </c>
      <c r="K93">
        <f>+G93</f>
        <v>0.50340899999719113</v>
      </c>
      <c r="O93">
        <f t="shared" ca="1" si="18"/>
        <v>0.5136434586834222</v>
      </c>
      <c r="Q93" s="2">
        <f t="shared" si="15"/>
        <v>39288.954899999997</v>
      </c>
      <c r="R93">
        <f t="shared" ca="1" si="17"/>
        <v>1.0474414460017068E-4</v>
      </c>
    </row>
    <row r="94" spans="1:31">
      <c r="A94" s="31" t="s">
        <v>48</v>
      </c>
      <c r="B94" s="32" t="s">
        <v>50</v>
      </c>
      <c r="C94" s="33">
        <v>54684.456899999997</v>
      </c>
      <c r="D94" s="34">
        <v>2.0000000000000001E-4</v>
      </c>
      <c r="E94">
        <f t="shared" si="12"/>
        <v>12061.202607886153</v>
      </c>
      <c r="F94">
        <f t="shared" si="13"/>
        <v>12061</v>
      </c>
      <c r="G94">
        <f t="shared" si="14"/>
        <v>0.49600699999427889</v>
      </c>
      <c r="J94">
        <f>+G94</f>
        <v>0.49600699999427889</v>
      </c>
      <c r="O94">
        <f t="shared" ca="1" si="18"/>
        <v>0.50615233844489216</v>
      </c>
      <c r="Q94" s="2">
        <f t="shared" si="15"/>
        <v>39665.956899999997</v>
      </c>
      <c r="R94">
        <f t="shared" ca="1" si="17"/>
        <v>1.0292789227749213E-4</v>
      </c>
    </row>
    <row r="95" spans="1:31">
      <c r="A95" s="53" t="s">
        <v>318</v>
      </c>
      <c r="B95" s="54" t="s">
        <v>37</v>
      </c>
      <c r="C95" s="55">
        <v>55050.440799999997</v>
      </c>
      <c r="D95" s="53">
        <v>4.8999999999999998E-3</v>
      </c>
      <c r="E95">
        <f t="shared" si="12"/>
        <v>12210.69893424037</v>
      </c>
      <c r="F95">
        <f t="shared" si="13"/>
        <v>12210.5</v>
      </c>
      <c r="G95">
        <f t="shared" si="14"/>
        <v>0.48701349999464583</v>
      </c>
      <c r="K95">
        <f>+G95</f>
        <v>0.48701349999464583</v>
      </c>
      <c r="O95">
        <f t="shared" ca="1" si="18"/>
        <v>0.49888011457696846</v>
      </c>
      <c r="Q95" s="2">
        <f t="shared" si="15"/>
        <v>40031.940799999997</v>
      </c>
      <c r="R95">
        <f t="shared" ca="1" si="17"/>
        <v>1.4081654164539213E-4</v>
      </c>
    </row>
    <row r="96" spans="1:31">
      <c r="A96" s="31" t="s">
        <v>48</v>
      </c>
      <c r="B96" s="32" t="s">
        <v>50</v>
      </c>
      <c r="C96" s="33">
        <v>55050.459000000003</v>
      </c>
      <c r="D96" s="34">
        <v>7.9000000000000008E-3</v>
      </c>
      <c r="E96">
        <f t="shared" si="12"/>
        <v>12210.706368537727</v>
      </c>
      <c r="F96">
        <f t="shared" si="13"/>
        <v>12210.5</v>
      </c>
      <c r="G96">
        <f t="shared" si="14"/>
        <v>0.50521350000053644</v>
      </c>
      <c r="J96">
        <f>+G96</f>
        <v>0.50521350000053644</v>
      </c>
      <c r="O96">
        <f t="shared" ca="1" si="18"/>
        <v>0.49888011457696846</v>
      </c>
      <c r="Q96" s="2">
        <f t="shared" si="15"/>
        <v>40031.959000000003</v>
      </c>
      <c r="R96">
        <f t="shared" ca="1" si="17"/>
        <v>4.0111770923463402E-5</v>
      </c>
    </row>
    <row r="97" spans="1:18">
      <c r="A97" s="53" t="s">
        <v>318</v>
      </c>
      <c r="B97" s="54" t="s">
        <v>37</v>
      </c>
      <c r="C97" s="55">
        <v>56159.424599999998</v>
      </c>
      <c r="D97" s="53">
        <v>3.5000000000000001E-3</v>
      </c>
      <c r="E97">
        <f t="shared" si="12"/>
        <v>12663.694282085833</v>
      </c>
      <c r="F97">
        <f t="shared" si="13"/>
        <v>12663.5</v>
      </c>
      <c r="G97">
        <f t="shared" si="14"/>
        <v>0.47562449999531964</v>
      </c>
      <c r="K97">
        <f>+G97</f>
        <v>0.47562449999531964</v>
      </c>
      <c r="O97">
        <f t="shared" ca="1" si="18"/>
        <v>0.47684454660259101</v>
      </c>
      <c r="Q97" s="2">
        <f t="shared" si="15"/>
        <v>41140.924599999998</v>
      </c>
      <c r="R97">
        <f t="shared" ca="1" si="17"/>
        <v>1.4885137239143915E-6</v>
      </c>
    </row>
    <row r="98" spans="1:18">
      <c r="A98" s="28" t="s">
        <v>36</v>
      </c>
      <c r="B98" s="29" t="s">
        <v>37</v>
      </c>
      <c r="C98" s="30">
        <v>56159.436500000003</v>
      </c>
      <c r="D98" s="30">
        <v>2.2000000000000001E-3</v>
      </c>
      <c r="E98">
        <f t="shared" si="12"/>
        <v>12663.699142972568</v>
      </c>
      <c r="F98">
        <f t="shared" si="13"/>
        <v>12663.5</v>
      </c>
      <c r="G98">
        <f t="shared" si="14"/>
        <v>0.48752450000029057</v>
      </c>
      <c r="J98">
        <f>+G98</f>
        <v>0.48752450000029057</v>
      </c>
      <c r="O98">
        <f t="shared" ca="1" si="18"/>
        <v>0.47684454660259101</v>
      </c>
      <c r="Q98" s="2">
        <f t="shared" si="15"/>
        <v>41140.936500000003</v>
      </c>
      <c r="R98">
        <f t="shared" ca="1" si="17"/>
        <v>1.1406140457703437E-4</v>
      </c>
    </row>
    <row r="99" spans="1:18">
      <c r="A99" s="31" t="s">
        <v>48</v>
      </c>
      <c r="B99" s="32" t="s">
        <v>50</v>
      </c>
      <c r="C99" s="33">
        <v>56650.265200000002</v>
      </c>
      <c r="D99" s="34">
        <v>2.0000000000000001E-4</v>
      </c>
      <c r="E99">
        <f t="shared" si="12"/>
        <v>12864.191808139574</v>
      </c>
      <c r="F99">
        <f t="shared" si="13"/>
        <v>12864</v>
      </c>
      <c r="G99">
        <f t="shared" si="14"/>
        <v>0.4695679999931599</v>
      </c>
      <c r="J99">
        <f>+G99</f>
        <v>0.4695679999931599</v>
      </c>
      <c r="O99">
        <f t="shared" ca="1" si="18"/>
        <v>0.46709149720112808</v>
      </c>
      <c r="Q99" s="2">
        <f t="shared" si="15"/>
        <v>41631.765200000002</v>
      </c>
      <c r="R99">
        <f t="shared" ca="1" si="17"/>
        <v>6.1330660789414023E-6</v>
      </c>
    </row>
    <row r="100" spans="1:18">
      <c r="A100" s="50" t="s">
        <v>0</v>
      </c>
      <c r="B100" s="51" t="s">
        <v>37</v>
      </c>
      <c r="C100" s="52">
        <v>57307.561600000001</v>
      </c>
      <c r="D100" s="52">
        <v>3.0000000000000001E-3</v>
      </c>
      <c r="E100">
        <f t="shared" si="12"/>
        <v>13132.682845930722</v>
      </c>
      <c r="F100">
        <f t="shared" si="13"/>
        <v>13132.5</v>
      </c>
      <c r="G100">
        <f t="shared" si="14"/>
        <v>0.44762749999790685</v>
      </c>
      <c r="K100">
        <f>+G100</f>
        <v>0.44762749999790685</v>
      </c>
      <c r="O100">
        <f t="shared" ca="1" si="18"/>
        <v>0.45403068042161299</v>
      </c>
      <c r="Q100" s="2">
        <f t="shared" si="15"/>
        <v>42289.061600000001</v>
      </c>
      <c r="R100">
        <f t="shared" ca="1" si="17"/>
        <v>4.1000719538533465E-5</v>
      </c>
    </row>
    <row r="101" spans="1:18">
      <c r="B101" s="6"/>
      <c r="C101" s="14"/>
      <c r="D101" s="14"/>
    </row>
    <row r="102" spans="1:18">
      <c r="B102" s="6"/>
      <c r="C102" s="14"/>
      <c r="D102" s="14"/>
    </row>
    <row r="103" spans="1:18">
      <c r="B103" s="6"/>
      <c r="C103" s="14"/>
      <c r="D103" s="14"/>
    </row>
    <row r="104" spans="1:18">
      <c r="B104" s="6"/>
      <c r="C104" s="14"/>
      <c r="D104" s="14"/>
    </row>
    <row r="105" spans="1:18">
      <c r="B105" s="6"/>
      <c r="C105" s="14"/>
      <c r="D105" s="14"/>
    </row>
    <row r="106" spans="1:18">
      <c r="B106" s="6"/>
      <c r="C106" s="14"/>
      <c r="D106" s="14"/>
    </row>
    <row r="107" spans="1:18">
      <c r="B107" s="6"/>
      <c r="C107" s="14"/>
      <c r="D107" s="14"/>
    </row>
    <row r="108" spans="1:18">
      <c r="B108" s="6"/>
      <c r="C108" s="14"/>
      <c r="D108" s="14"/>
    </row>
    <row r="109" spans="1:18">
      <c r="B109" s="6"/>
      <c r="C109" s="14"/>
      <c r="D109" s="14"/>
    </row>
    <row r="110" spans="1:18">
      <c r="B110" s="6"/>
      <c r="C110" s="14"/>
      <c r="D110" s="14"/>
    </row>
    <row r="111" spans="1:18">
      <c r="B111" s="6"/>
      <c r="C111" s="14"/>
      <c r="D111" s="14"/>
    </row>
    <row r="112" spans="1:18">
      <c r="B112" s="6"/>
      <c r="C112" s="14"/>
      <c r="D112" s="14"/>
    </row>
    <row r="113" spans="2:4">
      <c r="B113" s="6"/>
      <c r="C113" s="14"/>
      <c r="D113" s="14"/>
    </row>
    <row r="114" spans="2:4">
      <c r="B114" s="6"/>
      <c r="C114" s="14"/>
      <c r="D114" s="14"/>
    </row>
    <row r="115" spans="2:4">
      <c r="B115" s="6"/>
      <c r="C115" s="14"/>
      <c r="D115" s="14"/>
    </row>
    <row r="116" spans="2:4">
      <c r="B116" s="6"/>
      <c r="C116" s="14"/>
      <c r="D116" s="14"/>
    </row>
    <row r="117" spans="2:4">
      <c r="B117" s="6"/>
      <c r="C117" s="14"/>
      <c r="D117" s="14"/>
    </row>
    <row r="118" spans="2:4">
      <c r="B118" s="6"/>
      <c r="C118" s="14"/>
      <c r="D118" s="14"/>
    </row>
    <row r="119" spans="2:4">
      <c r="B119" s="6"/>
      <c r="C119" s="14"/>
      <c r="D119" s="14"/>
    </row>
    <row r="120" spans="2:4">
      <c r="B120" s="6"/>
      <c r="C120" s="14"/>
      <c r="D120" s="14"/>
    </row>
    <row r="121" spans="2:4">
      <c r="B121" s="6"/>
      <c r="C121" s="14"/>
      <c r="D121" s="14"/>
    </row>
    <row r="122" spans="2:4">
      <c r="B122" s="6"/>
      <c r="C122" s="14"/>
      <c r="D122" s="14"/>
    </row>
    <row r="123" spans="2:4">
      <c r="B123" s="6"/>
      <c r="C123" s="14"/>
      <c r="D123" s="14"/>
    </row>
    <row r="124" spans="2:4">
      <c r="B124" s="6"/>
      <c r="C124" s="14"/>
      <c r="D124" s="14"/>
    </row>
    <row r="125" spans="2:4">
      <c r="B125" s="6"/>
      <c r="C125" s="14"/>
      <c r="D125" s="14"/>
    </row>
    <row r="126" spans="2:4">
      <c r="B126" s="6"/>
      <c r="C126" s="14"/>
      <c r="D126" s="14"/>
    </row>
    <row r="127" spans="2:4">
      <c r="B127" s="6"/>
      <c r="C127" s="14"/>
      <c r="D127" s="14"/>
    </row>
    <row r="128" spans="2:4">
      <c r="B128" s="6"/>
      <c r="C128" s="14"/>
      <c r="D128" s="14"/>
    </row>
    <row r="129" spans="2:4">
      <c r="B129" s="6"/>
      <c r="C129" s="14"/>
      <c r="D129" s="14"/>
    </row>
    <row r="130" spans="2:4">
      <c r="B130" s="6"/>
      <c r="C130" s="14"/>
      <c r="D130" s="14"/>
    </row>
    <row r="131" spans="2:4">
      <c r="B131" s="6"/>
      <c r="C131" s="14"/>
      <c r="D131" s="14"/>
    </row>
    <row r="132" spans="2:4">
      <c r="B132" s="6"/>
      <c r="C132" s="14"/>
      <c r="D132" s="14"/>
    </row>
    <row r="133" spans="2:4">
      <c r="B133" s="6"/>
      <c r="C133" s="14"/>
      <c r="D133" s="14"/>
    </row>
    <row r="134" spans="2:4">
      <c r="B134" s="6"/>
      <c r="C134" s="14"/>
      <c r="D134" s="14"/>
    </row>
    <row r="135" spans="2:4">
      <c r="B135" s="6"/>
      <c r="C135" s="14"/>
      <c r="D135" s="14"/>
    </row>
    <row r="136" spans="2:4">
      <c r="B136" s="6"/>
      <c r="C136" s="14"/>
      <c r="D136" s="14"/>
    </row>
    <row r="137" spans="2:4">
      <c r="B137" s="6"/>
      <c r="C137" s="14"/>
      <c r="D137" s="14"/>
    </row>
    <row r="138" spans="2:4">
      <c r="B138" s="6"/>
      <c r="C138" s="14"/>
      <c r="D138" s="14"/>
    </row>
    <row r="139" spans="2:4">
      <c r="B139" s="6"/>
      <c r="C139" s="14"/>
      <c r="D139" s="14"/>
    </row>
    <row r="140" spans="2:4">
      <c r="B140" s="6"/>
      <c r="C140" s="14"/>
      <c r="D140" s="14"/>
    </row>
    <row r="141" spans="2:4">
      <c r="B141" s="6"/>
      <c r="C141" s="14"/>
      <c r="D141" s="14"/>
    </row>
    <row r="142" spans="2:4">
      <c r="B142" s="6"/>
      <c r="C142" s="14"/>
      <c r="D142" s="14"/>
    </row>
    <row r="143" spans="2:4">
      <c r="B143" s="6"/>
      <c r="C143" s="14"/>
      <c r="D143" s="14"/>
    </row>
    <row r="144" spans="2:4">
      <c r="B144" s="6"/>
      <c r="C144" s="14"/>
      <c r="D144" s="14"/>
    </row>
    <row r="145" spans="2:4">
      <c r="B145" s="6"/>
      <c r="C145" s="14"/>
      <c r="D145" s="14"/>
    </row>
    <row r="146" spans="2:4">
      <c r="B146" s="6"/>
      <c r="C146" s="14"/>
      <c r="D146" s="14"/>
    </row>
    <row r="147" spans="2:4">
      <c r="B147" s="6"/>
      <c r="C147" s="14"/>
      <c r="D147" s="14"/>
    </row>
    <row r="148" spans="2:4">
      <c r="B148" s="6"/>
      <c r="C148" s="14"/>
      <c r="D148" s="14"/>
    </row>
    <row r="149" spans="2:4">
      <c r="B149" s="6"/>
      <c r="C149" s="14"/>
      <c r="D149" s="14"/>
    </row>
    <row r="150" spans="2:4">
      <c r="B150" s="6"/>
      <c r="C150" s="14"/>
      <c r="D150" s="14"/>
    </row>
    <row r="151" spans="2:4">
      <c r="B151" s="6"/>
      <c r="C151" s="14"/>
      <c r="D151" s="14"/>
    </row>
    <row r="152" spans="2:4">
      <c r="B152" s="6"/>
      <c r="C152" s="14"/>
      <c r="D152" s="14"/>
    </row>
    <row r="153" spans="2:4">
      <c r="B153" s="6"/>
      <c r="C153" s="14"/>
      <c r="D153" s="14"/>
    </row>
    <row r="154" spans="2:4">
      <c r="B154" s="6"/>
      <c r="C154" s="14"/>
      <c r="D154" s="14"/>
    </row>
    <row r="155" spans="2:4">
      <c r="B155" s="6"/>
      <c r="C155" s="14"/>
      <c r="D155" s="14"/>
    </row>
    <row r="156" spans="2:4">
      <c r="B156" s="6"/>
      <c r="C156" s="14"/>
      <c r="D156" s="14"/>
    </row>
    <row r="157" spans="2:4">
      <c r="B157" s="6"/>
      <c r="C157" s="14"/>
      <c r="D157" s="14"/>
    </row>
    <row r="158" spans="2:4">
      <c r="B158" s="6"/>
      <c r="C158" s="14"/>
      <c r="D158" s="14"/>
    </row>
    <row r="159" spans="2:4">
      <c r="B159" s="6"/>
      <c r="C159" s="14"/>
      <c r="D159" s="14"/>
    </row>
    <row r="160" spans="2:4">
      <c r="B160" s="6"/>
      <c r="C160" s="14"/>
      <c r="D160" s="14"/>
    </row>
    <row r="161" spans="2:4">
      <c r="B161" s="6"/>
      <c r="C161" s="14"/>
      <c r="D161" s="14"/>
    </row>
    <row r="162" spans="2:4">
      <c r="B162" s="6"/>
      <c r="C162" s="14"/>
      <c r="D162" s="14"/>
    </row>
    <row r="163" spans="2:4">
      <c r="B163" s="6"/>
      <c r="C163" s="14"/>
      <c r="D163" s="14"/>
    </row>
    <row r="164" spans="2:4">
      <c r="B164" s="6"/>
      <c r="C164" s="14"/>
      <c r="D164" s="14"/>
    </row>
    <row r="165" spans="2:4">
      <c r="B165" s="6"/>
      <c r="C165" s="14"/>
      <c r="D165" s="14"/>
    </row>
    <row r="166" spans="2:4">
      <c r="B166" s="6"/>
      <c r="C166" s="14"/>
      <c r="D166" s="14"/>
    </row>
    <row r="167" spans="2:4">
      <c r="C167" s="14"/>
      <c r="D167" s="14"/>
    </row>
    <row r="168" spans="2:4">
      <c r="C168" s="14"/>
      <c r="D168" s="14"/>
    </row>
    <row r="169" spans="2:4">
      <c r="C169" s="14"/>
      <c r="D169" s="14"/>
    </row>
    <row r="170" spans="2:4">
      <c r="C170" s="14"/>
      <c r="D170" s="14"/>
    </row>
    <row r="171" spans="2:4">
      <c r="C171" s="14"/>
      <c r="D171" s="14"/>
    </row>
    <row r="172" spans="2:4">
      <c r="C172" s="14"/>
      <c r="D172" s="14"/>
    </row>
    <row r="173" spans="2:4">
      <c r="C173" s="14"/>
      <c r="D173" s="14"/>
    </row>
    <row r="174" spans="2:4">
      <c r="C174" s="14"/>
      <c r="D174" s="14"/>
    </row>
    <row r="175" spans="2:4">
      <c r="C175" s="14"/>
      <c r="D175" s="14"/>
    </row>
    <row r="176" spans="2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</sheetData>
  <sortState xmlns:xlrd2="http://schemas.microsoft.com/office/spreadsheetml/2017/richdata2" ref="A21:R100">
    <sortCondition ref="C21:C100"/>
  </sortState>
  <phoneticPr fontId="8" type="noConversion"/>
  <hyperlinks>
    <hyperlink ref="H112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2"/>
  <sheetViews>
    <sheetView topLeftCell="A39" workbookViewId="0">
      <selection activeCell="A18" sqref="A18:D86"/>
    </sheetView>
  </sheetViews>
  <sheetFormatPr defaultRowHeight="12.75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5" t="s">
        <v>51</v>
      </c>
      <c r="I1" s="36" t="s">
        <v>52</v>
      </c>
      <c r="J1" s="37" t="s">
        <v>53</v>
      </c>
    </row>
    <row r="2" spans="1:16">
      <c r="I2" s="38" t="s">
        <v>54</v>
      </c>
      <c r="J2" s="39" t="s">
        <v>55</v>
      </c>
    </row>
    <row r="3" spans="1:16">
      <c r="A3" s="40" t="s">
        <v>56</v>
      </c>
      <c r="I3" s="38" t="s">
        <v>57</v>
      </c>
      <c r="J3" s="39" t="s">
        <v>58</v>
      </c>
    </row>
    <row r="4" spans="1:16">
      <c r="I4" s="38" t="s">
        <v>59</v>
      </c>
      <c r="J4" s="39" t="s">
        <v>58</v>
      </c>
    </row>
    <row r="5" spans="1:16" ht="13.5" thickBot="1">
      <c r="I5" s="41" t="s">
        <v>60</v>
      </c>
      <c r="J5" s="42" t="s">
        <v>61</v>
      </c>
    </row>
    <row r="10" spans="1:16" ht="13.5" thickBot="1"/>
    <row r="11" spans="1:16" ht="12.75" customHeight="1" thickBot="1">
      <c r="A11" s="14" t="str">
        <f t="shared" ref="A11:A42" si="0">P11</f>
        <v> BBS 92 </v>
      </c>
      <c r="B11" s="6" t="str">
        <f t="shared" ref="B11:B42" si="1">IF(H11=INT(H11),"I","II")</f>
        <v>II</v>
      </c>
      <c r="C11" s="14">
        <f t="shared" ref="C11:C42" si="2">1*G11</f>
        <v>47800.372000000003</v>
      </c>
      <c r="D11" s="16" t="str">
        <f t="shared" ref="D11:D42" si="3">VLOOKUP(F11,I$1:J$5,2,FALSE)</f>
        <v>vis</v>
      </c>
      <c r="E11" s="43">
        <f>VLOOKUP(C11,Active!C$21:E$973,3,FALSE)</f>
        <v>9249.2062253662316</v>
      </c>
      <c r="F11" s="6" t="str">
        <f>LEFT(M11,1)</f>
        <v>V</v>
      </c>
      <c r="G11" s="16" t="str">
        <f t="shared" ref="G11:G42" si="4">MID(I11,3,LEN(I11)-3)</f>
        <v>47800.372</v>
      </c>
      <c r="H11" s="14">
        <f t="shared" ref="H11:H42" si="5">1*K11</f>
        <v>2458.5</v>
      </c>
      <c r="I11" s="44" t="s">
        <v>276</v>
      </c>
      <c r="J11" s="45" t="s">
        <v>277</v>
      </c>
      <c r="K11" s="44">
        <v>2458.5</v>
      </c>
      <c r="L11" s="44" t="s">
        <v>278</v>
      </c>
      <c r="M11" s="45" t="s">
        <v>269</v>
      </c>
      <c r="N11" s="45"/>
      <c r="O11" s="46" t="s">
        <v>279</v>
      </c>
      <c r="P11" s="46" t="s">
        <v>280</v>
      </c>
    </row>
    <row r="12" spans="1:16" ht="12.75" customHeight="1" thickBot="1">
      <c r="A12" s="14" t="str">
        <f t="shared" si="0"/>
        <v> BBS 93 </v>
      </c>
      <c r="B12" s="6" t="str">
        <f t="shared" si="1"/>
        <v>I</v>
      </c>
      <c r="C12" s="14">
        <f t="shared" si="2"/>
        <v>47822.411</v>
      </c>
      <c r="D12" s="16" t="str">
        <f t="shared" si="3"/>
        <v>vis</v>
      </c>
      <c r="E12" s="43">
        <f>VLOOKUP(C12,Active!C$21:E$973,3,FALSE)</f>
        <v>9258.2086692893663</v>
      </c>
      <c r="F12" s="6" t="str">
        <f>LEFT(M12,1)</f>
        <v>V</v>
      </c>
      <c r="G12" s="16" t="str">
        <f t="shared" si="4"/>
        <v>47822.411</v>
      </c>
      <c r="H12" s="14">
        <f t="shared" si="5"/>
        <v>2461</v>
      </c>
      <c r="I12" s="44" t="s">
        <v>284</v>
      </c>
      <c r="J12" s="45" t="s">
        <v>285</v>
      </c>
      <c r="K12" s="44">
        <v>2461</v>
      </c>
      <c r="L12" s="44" t="s">
        <v>286</v>
      </c>
      <c r="M12" s="45" t="s">
        <v>269</v>
      </c>
      <c r="N12" s="45"/>
      <c r="O12" s="46" t="s">
        <v>279</v>
      </c>
      <c r="P12" s="46" t="s">
        <v>287</v>
      </c>
    </row>
    <row r="13" spans="1:16" ht="12.75" customHeight="1" thickBot="1">
      <c r="A13" s="14" t="str">
        <f t="shared" si="0"/>
        <v> BBS 99 </v>
      </c>
      <c r="B13" s="6" t="str">
        <f t="shared" si="1"/>
        <v>I</v>
      </c>
      <c r="C13" s="14">
        <f t="shared" si="2"/>
        <v>48532.357000000004</v>
      </c>
      <c r="D13" s="16" t="str">
        <f t="shared" si="3"/>
        <v>vis</v>
      </c>
      <c r="E13" s="43">
        <f>VLOOKUP(C13,Active!C$21:E$973,3,FALSE)</f>
        <v>9548.2059038941425</v>
      </c>
      <c r="F13" s="6" t="str">
        <f>LEFT(M13,1)</f>
        <v>V</v>
      </c>
      <c r="G13" s="16" t="str">
        <f t="shared" si="4"/>
        <v>48532.357</v>
      </c>
      <c r="H13" s="14">
        <f t="shared" si="5"/>
        <v>2538</v>
      </c>
      <c r="I13" s="44" t="s">
        <v>288</v>
      </c>
      <c r="J13" s="45" t="s">
        <v>289</v>
      </c>
      <c r="K13" s="44">
        <v>2538</v>
      </c>
      <c r="L13" s="44" t="s">
        <v>290</v>
      </c>
      <c r="M13" s="45" t="s">
        <v>269</v>
      </c>
      <c r="N13" s="45"/>
      <c r="O13" s="46" t="s">
        <v>279</v>
      </c>
      <c r="P13" s="46" t="s">
        <v>291</v>
      </c>
    </row>
    <row r="14" spans="1:16" ht="12.75" customHeight="1" thickBot="1">
      <c r="A14" s="14" t="str">
        <f t="shared" si="0"/>
        <v>BAVM 234 </v>
      </c>
      <c r="B14" s="6" t="str">
        <f t="shared" si="1"/>
        <v>I</v>
      </c>
      <c r="C14" s="14">
        <f t="shared" si="2"/>
        <v>54684.456899999997</v>
      </c>
      <c r="D14" s="16" t="str">
        <f t="shared" si="3"/>
        <v>vis</v>
      </c>
      <c r="E14" s="43">
        <f>VLOOKUP(C14,Active!C$21:E$973,3,FALSE)</f>
        <v>12061.202607886153</v>
      </c>
      <c r="F14" s="6" t="s">
        <v>60</v>
      </c>
      <c r="G14" s="16" t="str">
        <f t="shared" si="4"/>
        <v>54684.4569</v>
      </c>
      <c r="H14" s="14">
        <f t="shared" si="5"/>
        <v>3206</v>
      </c>
      <c r="I14" s="44" t="s">
        <v>299</v>
      </c>
      <c r="J14" s="45" t="s">
        <v>300</v>
      </c>
      <c r="K14" s="44">
        <v>3206</v>
      </c>
      <c r="L14" s="44" t="s">
        <v>301</v>
      </c>
      <c r="M14" s="45" t="s">
        <v>295</v>
      </c>
      <c r="N14" s="45" t="s">
        <v>302</v>
      </c>
      <c r="O14" s="46" t="s">
        <v>303</v>
      </c>
      <c r="P14" s="47" t="s">
        <v>304</v>
      </c>
    </row>
    <row r="15" spans="1:16" ht="12.75" customHeight="1" thickBot="1">
      <c r="A15" s="14" t="str">
        <f t="shared" si="0"/>
        <v>BAVM 234 </v>
      </c>
      <c r="B15" s="6" t="str">
        <f t="shared" si="1"/>
        <v>I</v>
      </c>
      <c r="C15" s="14">
        <f t="shared" si="2"/>
        <v>55050.459000000003</v>
      </c>
      <c r="D15" s="16" t="str">
        <f t="shared" si="3"/>
        <v>vis</v>
      </c>
      <c r="E15" s="43">
        <f>VLOOKUP(C15,Active!C$21:E$973,3,FALSE)</f>
        <v>12210.706368537727</v>
      </c>
      <c r="F15" s="6" t="s">
        <v>60</v>
      </c>
      <c r="G15" s="16" t="str">
        <f t="shared" si="4"/>
        <v>55050.459</v>
      </c>
      <c r="H15" s="14">
        <f t="shared" si="5"/>
        <v>3246</v>
      </c>
      <c r="I15" s="44" t="s">
        <v>305</v>
      </c>
      <c r="J15" s="45" t="s">
        <v>306</v>
      </c>
      <c r="K15" s="44" t="s">
        <v>307</v>
      </c>
      <c r="L15" s="44" t="s">
        <v>308</v>
      </c>
      <c r="M15" s="45" t="s">
        <v>295</v>
      </c>
      <c r="N15" s="45" t="s">
        <v>302</v>
      </c>
      <c r="O15" s="46" t="s">
        <v>303</v>
      </c>
      <c r="P15" s="47" t="s">
        <v>304</v>
      </c>
    </row>
    <row r="16" spans="1:16" ht="12.75" customHeight="1" thickBot="1">
      <c r="A16" s="14" t="str">
        <f t="shared" si="0"/>
        <v>BAVM 231 </v>
      </c>
      <c r="B16" s="6" t="str">
        <f t="shared" si="1"/>
        <v>I</v>
      </c>
      <c r="C16" s="14">
        <f t="shared" si="2"/>
        <v>56159.436500000003</v>
      </c>
      <c r="D16" s="16" t="str">
        <f t="shared" si="3"/>
        <v>vis</v>
      </c>
      <c r="E16" s="43">
        <f>VLOOKUP(C16,Active!C$21:E$973,3,FALSE)</f>
        <v>12663.699142972568</v>
      </c>
      <c r="F16" s="6" t="s">
        <v>60</v>
      </c>
      <c r="G16" s="16" t="str">
        <f t="shared" si="4"/>
        <v>56159.4365</v>
      </c>
      <c r="H16" s="14">
        <f t="shared" si="5"/>
        <v>3366</v>
      </c>
      <c r="I16" s="44" t="s">
        <v>309</v>
      </c>
      <c r="J16" s="45" t="s">
        <v>310</v>
      </c>
      <c r="K16" s="44" t="s">
        <v>311</v>
      </c>
      <c r="L16" s="44" t="s">
        <v>312</v>
      </c>
      <c r="M16" s="45" t="s">
        <v>295</v>
      </c>
      <c r="N16" s="45" t="s">
        <v>302</v>
      </c>
      <c r="O16" s="46" t="s">
        <v>303</v>
      </c>
      <c r="P16" s="47" t="s">
        <v>313</v>
      </c>
    </row>
    <row r="17" spans="1:16" ht="12.75" customHeight="1" thickBot="1">
      <c r="A17" s="14" t="str">
        <f t="shared" si="0"/>
        <v>BAVM 234 </v>
      </c>
      <c r="B17" s="6" t="str">
        <f t="shared" si="1"/>
        <v>I</v>
      </c>
      <c r="C17" s="14">
        <f t="shared" si="2"/>
        <v>56650.265200000002</v>
      </c>
      <c r="D17" s="16" t="str">
        <f t="shared" si="3"/>
        <v>vis</v>
      </c>
      <c r="E17" s="43">
        <f>VLOOKUP(C17,Active!C$21:E$973,3,FALSE)</f>
        <v>12864.191808139574</v>
      </c>
      <c r="F17" s="6" t="s">
        <v>60</v>
      </c>
      <c r="G17" s="16" t="str">
        <f t="shared" si="4"/>
        <v>56650.2652</v>
      </c>
      <c r="H17" s="14">
        <f t="shared" si="5"/>
        <v>3419</v>
      </c>
      <c r="I17" s="44" t="s">
        <v>314</v>
      </c>
      <c r="J17" s="45" t="s">
        <v>315</v>
      </c>
      <c r="K17" s="44" t="s">
        <v>316</v>
      </c>
      <c r="L17" s="44" t="s">
        <v>317</v>
      </c>
      <c r="M17" s="45" t="s">
        <v>295</v>
      </c>
      <c r="N17" s="45" t="s">
        <v>302</v>
      </c>
      <c r="O17" s="46" t="s">
        <v>303</v>
      </c>
      <c r="P17" s="47" t="s">
        <v>304</v>
      </c>
    </row>
    <row r="18" spans="1:16" ht="12.75" customHeight="1" thickBot="1">
      <c r="A18" s="14" t="str">
        <f t="shared" si="0"/>
        <v> WILN 17.24 </v>
      </c>
      <c r="B18" s="6" t="str">
        <f t="shared" si="1"/>
        <v>I</v>
      </c>
      <c r="C18" s="14">
        <f t="shared" si="2"/>
        <v>25157.360000000001</v>
      </c>
      <c r="D18" s="16" t="str">
        <f t="shared" si="3"/>
        <v>vis</v>
      </c>
      <c r="E18" s="43">
        <f>VLOOKUP(C18,Active!C$21:E$973,3,FALSE)</f>
        <v>3.6763008897116069E-2</v>
      </c>
      <c r="F18" s="6" t="s">
        <v>60</v>
      </c>
      <c r="G18" s="16" t="str">
        <f t="shared" si="4"/>
        <v>25157.36</v>
      </c>
      <c r="H18" s="14">
        <f t="shared" si="5"/>
        <v>0</v>
      </c>
      <c r="I18" s="44" t="s">
        <v>63</v>
      </c>
      <c r="J18" s="45" t="s">
        <v>64</v>
      </c>
      <c r="K18" s="44">
        <v>0</v>
      </c>
      <c r="L18" s="44" t="s">
        <v>65</v>
      </c>
      <c r="M18" s="45" t="s">
        <v>66</v>
      </c>
      <c r="N18" s="45"/>
      <c r="O18" s="46" t="s">
        <v>67</v>
      </c>
      <c r="P18" s="46" t="s">
        <v>68</v>
      </c>
    </row>
    <row r="19" spans="1:16" ht="12.75" customHeight="1" thickBot="1">
      <c r="A19" s="14" t="str">
        <f t="shared" si="0"/>
        <v> WILN 17.24 </v>
      </c>
      <c r="B19" s="6" t="str">
        <f t="shared" si="1"/>
        <v>I</v>
      </c>
      <c r="C19" s="14">
        <f t="shared" si="2"/>
        <v>25387.48</v>
      </c>
      <c r="D19" s="16" t="str">
        <f t="shared" si="3"/>
        <v>vis</v>
      </c>
      <c r="E19" s="43">
        <f>VLOOKUP(C19,Active!C$21:E$973,3,FALSE)</f>
        <v>94.035691979904158</v>
      </c>
      <c r="F19" s="6" t="s">
        <v>60</v>
      </c>
      <c r="G19" s="16" t="str">
        <f t="shared" si="4"/>
        <v>25387.48</v>
      </c>
      <c r="H19" s="14">
        <f t="shared" si="5"/>
        <v>25</v>
      </c>
      <c r="I19" s="44" t="s">
        <v>69</v>
      </c>
      <c r="J19" s="45" t="s">
        <v>70</v>
      </c>
      <c r="K19" s="44">
        <v>25</v>
      </c>
      <c r="L19" s="44" t="s">
        <v>71</v>
      </c>
      <c r="M19" s="45" t="s">
        <v>66</v>
      </c>
      <c r="N19" s="45"/>
      <c r="O19" s="46" t="s">
        <v>67</v>
      </c>
      <c r="P19" s="46" t="s">
        <v>68</v>
      </c>
    </row>
    <row r="20" spans="1:16" ht="12.75" customHeight="1" thickBot="1">
      <c r="A20" s="14" t="str">
        <f t="shared" si="0"/>
        <v> BRNO 30.43 </v>
      </c>
      <c r="B20" s="6" t="str">
        <f t="shared" si="1"/>
        <v>I</v>
      </c>
      <c r="C20" s="14">
        <f t="shared" si="2"/>
        <v>25561.303</v>
      </c>
      <c r="D20" s="16" t="str">
        <f t="shared" si="3"/>
        <v>vis</v>
      </c>
      <c r="E20" s="43">
        <f>VLOOKUP(C20,Active!C$21:E$973,3,FALSE)</f>
        <v>165.03854193004955</v>
      </c>
      <c r="F20" s="6" t="s">
        <v>60</v>
      </c>
      <c r="G20" s="16" t="str">
        <f t="shared" si="4"/>
        <v>25561.303</v>
      </c>
      <c r="H20" s="14">
        <f t="shared" si="5"/>
        <v>44</v>
      </c>
      <c r="I20" s="44" t="s">
        <v>72</v>
      </c>
      <c r="J20" s="45" t="s">
        <v>73</v>
      </c>
      <c r="K20" s="44">
        <v>44</v>
      </c>
      <c r="L20" s="44" t="s">
        <v>74</v>
      </c>
      <c r="M20" s="45" t="s">
        <v>66</v>
      </c>
      <c r="N20" s="45"/>
      <c r="O20" s="46" t="s">
        <v>75</v>
      </c>
      <c r="P20" s="46" t="s">
        <v>76</v>
      </c>
    </row>
    <row r="21" spans="1:16" ht="12.75" customHeight="1" thickBot="1">
      <c r="A21" s="14" t="str">
        <f t="shared" si="0"/>
        <v> WILN 17.24 </v>
      </c>
      <c r="B21" s="6" t="str">
        <f t="shared" si="1"/>
        <v>I</v>
      </c>
      <c r="C21" s="14">
        <f t="shared" si="2"/>
        <v>26244.32</v>
      </c>
      <c r="D21" s="16" t="str">
        <f t="shared" si="3"/>
        <v>vis</v>
      </c>
      <c r="E21" s="43">
        <f>VLOOKUP(C21,Active!C$21:E$973,3,FALSE)</f>
        <v>444.03587579494865</v>
      </c>
      <c r="F21" s="6" t="s">
        <v>60</v>
      </c>
      <c r="G21" s="16" t="str">
        <f t="shared" si="4"/>
        <v>26244.32</v>
      </c>
      <c r="H21" s="14">
        <f t="shared" si="5"/>
        <v>118</v>
      </c>
      <c r="I21" s="44" t="s">
        <v>77</v>
      </c>
      <c r="J21" s="45" t="s">
        <v>78</v>
      </c>
      <c r="K21" s="44">
        <v>118</v>
      </c>
      <c r="L21" s="44" t="s">
        <v>79</v>
      </c>
      <c r="M21" s="45" t="s">
        <v>66</v>
      </c>
      <c r="N21" s="45"/>
      <c r="O21" s="46" t="s">
        <v>67</v>
      </c>
      <c r="P21" s="46" t="s">
        <v>68</v>
      </c>
    </row>
    <row r="22" spans="1:16" ht="12.75" customHeight="1" thickBot="1">
      <c r="A22" s="14" t="str">
        <f t="shared" si="0"/>
        <v> PZ 4.268 </v>
      </c>
      <c r="B22" s="6" t="str">
        <f t="shared" si="1"/>
        <v>I</v>
      </c>
      <c r="C22" s="14">
        <f t="shared" si="2"/>
        <v>26594.39</v>
      </c>
      <c r="D22" s="16" t="str">
        <f t="shared" si="3"/>
        <v>vis</v>
      </c>
      <c r="E22" s="43">
        <f>VLOOKUP(C22,Active!C$21:E$973,3,FALSE)</f>
        <v>587.03172606819987</v>
      </c>
      <c r="F22" s="6" t="s">
        <v>60</v>
      </c>
      <c r="G22" s="16" t="str">
        <f t="shared" si="4"/>
        <v>26594.39</v>
      </c>
      <c r="H22" s="14">
        <f t="shared" si="5"/>
        <v>156</v>
      </c>
      <c r="I22" s="44" t="s">
        <v>80</v>
      </c>
      <c r="J22" s="45" t="s">
        <v>81</v>
      </c>
      <c r="K22" s="44">
        <v>156</v>
      </c>
      <c r="L22" s="44" t="s">
        <v>82</v>
      </c>
      <c r="M22" s="45" t="s">
        <v>66</v>
      </c>
      <c r="N22" s="45"/>
      <c r="O22" s="46" t="s">
        <v>83</v>
      </c>
      <c r="P22" s="46" t="s">
        <v>84</v>
      </c>
    </row>
    <row r="23" spans="1:16" ht="12.75" customHeight="1" thickBot="1">
      <c r="A23" s="14" t="str">
        <f t="shared" si="0"/>
        <v> PZ 4.268 </v>
      </c>
      <c r="B23" s="6" t="str">
        <f t="shared" si="1"/>
        <v>I</v>
      </c>
      <c r="C23" s="14">
        <f t="shared" si="2"/>
        <v>26981.279999999999</v>
      </c>
      <c r="D23" s="16" t="str">
        <f t="shared" si="3"/>
        <v>vis</v>
      </c>
      <c r="E23" s="43">
        <f>VLOOKUP(C23,Active!C$21:E$973,3,FALSE)</f>
        <v>745.06773175911337</v>
      </c>
      <c r="F23" s="6" t="s">
        <v>60</v>
      </c>
      <c r="G23" s="16" t="str">
        <f t="shared" si="4"/>
        <v>26981.28</v>
      </c>
      <c r="H23" s="14">
        <f t="shared" si="5"/>
        <v>198</v>
      </c>
      <c r="I23" s="44" t="s">
        <v>85</v>
      </c>
      <c r="J23" s="45" t="s">
        <v>86</v>
      </c>
      <c r="K23" s="44">
        <v>198</v>
      </c>
      <c r="L23" s="44" t="s">
        <v>87</v>
      </c>
      <c r="M23" s="45" t="s">
        <v>66</v>
      </c>
      <c r="N23" s="45"/>
      <c r="O23" s="46" t="s">
        <v>83</v>
      </c>
      <c r="P23" s="46" t="s">
        <v>84</v>
      </c>
    </row>
    <row r="24" spans="1:16" ht="12.75" customHeight="1" thickBot="1">
      <c r="A24" s="14" t="str">
        <f t="shared" si="0"/>
        <v> BRNO 30.43 </v>
      </c>
      <c r="B24" s="6" t="str">
        <f t="shared" si="1"/>
        <v>I</v>
      </c>
      <c r="C24" s="14">
        <f t="shared" si="2"/>
        <v>28408.511999999999</v>
      </c>
      <c r="D24" s="16" t="str">
        <f t="shared" si="3"/>
        <v>vis</v>
      </c>
      <c r="E24" s="43">
        <f>VLOOKUP(C24,Active!C$21:E$973,3,FALSE)</f>
        <v>1328.0604285831569</v>
      </c>
      <c r="F24" s="6" t="s">
        <v>60</v>
      </c>
      <c r="G24" s="16" t="str">
        <f t="shared" si="4"/>
        <v>28408.512</v>
      </c>
      <c r="H24" s="14">
        <f t="shared" si="5"/>
        <v>353</v>
      </c>
      <c r="I24" s="44" t="s">
        <v>88</v>
      </c>
      <c r="J24" s="45" t="s">
        <v>89</v>
      </c>
      <c r="K24" s="44">
        <v>353</v>
      </c>
      <c r="L24" s="44" t="s">
        <v>90</v>
      </c>
      <c r="M24" s="45" t="s">
        <v>66</v>
      </c>
      <c r="N24" s="45"/>
      <c r="O24" s="46" t="s">
        <v>75</v>
      </c>
      <c r="P24" s="46" t="s">
        <v>76</v>
      </c>
    </row>
    <row r="25" spans="1:16" ht="12.75" customHeight="1" thickBot="1">
      <c r="A25" s="14" t="str">
        <f t="shared" si="0"/>
        <v> BRNO 30.43 </v>
      </c>
      <c r="B25" s="6" t="str">
        <f t="shared" si="1"/>
        <v>II</v>
      </c>
      <c r="C25" s="14">
        <f t="shared" si="2"/>
        <v>29194.365000000002</v>
      </c>
      <c r="D25" s="16" t="str">
        <f t="shared" si="3"/>
        <v>vis</v>
      </c>
      <c r="E25" s="43">
        <f>VLOOKUP(C25,Active!C$21:E$973,3,FALSE)</f>
        <v>1649.0639933695875</v>
      </c>
      <c r="F25" s="6" t="s">
        <v>60</v>
      </c>
      <c r="G25" s="16" t="str">
        <f t="shared" si="4"/>
        <v>29194.365</v>
      </c>
      <c r="H25" s="14">
        <f t="shared" si="5"/>
        <v>438.5</v>
      </c>
      <c r="I25" s="44" t="s">
        <v>91</v>
      </c>
      <c r="J25" s="45" t="s">
        <v>92</v>
      </c>
      <c r="K25" s="44">
        <v>438.5</v>
      </c>
      <c r="L25" s="44" t="s">
        <v>93</v>
      </c>
      <c r="M25" s="45" t="s">
        <v>66</v>
      </c>
      <c r="N25" s="45"/>
      <c r="O25" s="46" t="s">
        <v>75</v>
      </c>
      <c r="P25" s="46" t="s">
        <v>76</v>
      </c>
    </row>
    <row r="26" spans="1:16" ht="12.75" customHeight="1" thickBot="1">
      <c r="A26" s="14" t="str">
        <f t="shared" si="0"/>
        <v> BRNO 30.43 </v>
      </c>
      <c r="B26" s="6" t="str">
        <f t="shared" si="1"/>
        <v>II</v>
      </c>
      <c r="C26" s="14">
        <f t="shared" si="2"/>
        <v>29877.471000000001</v>
      </c>
      <c r="D26" s="16" t="str">
        <f t="shared" si="3"/>
        <v>vis</v>
      </c>
      <c r="E26" s="43">
        <f>VLOOKUP(C26,Active!C$21:E$973,3,FALSE)</f>
        <v>1928.0976817655069</v>
      </c>
      <c r="F26" s="6" t="s">
        <v>60</v>
      </c>
      <c r="G26" s="16" t="str">
        <f t="shared" si="4"/>
        <v>29877.471</v>
      </c>
      <c r="H26" s="14">
        <f t="shared" si="5"/>
        <v>512.5</v>
      </c>
      <c r="I26" s="44" t="s">
        <v>94</v>
      </c>
      <c r="J26" s="45" t="s">
        <v>95</v>
      </c>
      <c r="K26" s="44">
        <v>512.5</v>
      </c>
      <c r="L26" s="44" t="s">
        <v>96</v>
      </c>
      <c r="M26" s="45" t="s">
        <v>66</v>
      </c>
      <c r="N26" s="45"/>
      <c r="O26" s="46" t="s">
        <v>75</v>
      </c>
      <c r="P26" s="46" t="s">
        <v>76</v>
      </c>
    </row>
    <row r="27" spans="1:16" ht="12.75" customHeight="1" thickBot="1">
      <c r="A27" s="14" t="str">
        <f t="shared" si="0"/>
        <v> BRNO 30.43 </v>
      </c>
      <c r="B27" s="6" t="str">
        <f t="shared" si="1"/>
        <v>II</v>
      </c>
      <c r="C27" s="14">
        <f t="shared" si="2"/>
        <v>30991.376</v>
      </c>
      <c r="D27" s="16" t="str">
        <f t="shared" si="3"/>
        <v>vis</v>
      </c>
      <c r="E27" s="43">
        <f>VLOOKUP(C27,Active!C$21:E$973,3,FALSE)</f>
        <v>2383.1032309374605</v>
      </c>
      <c r="F27" s="6" t="s">
        <v>60</v>
      </c>
      <c r="G27" s="16" t="str">
        <f t="shared" si="4"/>
        <v>30991.376</v>
      </c>
      <c r="H27" s="14">
        <f t="shared" si="5"/>
        <v>633.5</v>
      </c>
      <c r="I27" s="44" t="s">
        <v>97</v>
      </c>
      <c r="J27" s="45" t="s">
        <v>98</v>
      </c>
      <c r="K27" s="44">
        <v>633.5</v>
      </c>
      <c r="L27" s="44" t="s">
        <v>99</v>
      </c>
      <c r="M27" s="45" t="s">
        <v>66</v>
      </c>
      <c r="N27" s="45"/>
      <c r="O27" s="46" t="s">
        <v>75</v>
      </c>
      <c r="P27" s="46" t="s">
        <v>76</v>
      </c>
    </row>
    <row r="28" spans="1:16" ht="12.75" customHeight="1" thickBot="1">
      <c r="A28" s="14" t="str">
        <f t="shared" si="0"/>
        <v> BRNO 30.43 </v>
      </c>
      <c r="B28" s="6" t="str">
        <f t="shared" si="1"/>
        <v>I</v>
      </c>
      <c r="C28" s="14">
        <f t="shared" si="2"/>
        <v>31292.488000000001</v>
      </c>
      <c r="D28" s="16" t="str">
        <f t="shared" si="3"/>
        <v>vis</v>
      </c>
      <c r="E28" s="43">
        <f>VLOOKUP(C28,Active!C$21:E$973,3,FALSE)</f>
        <v>2506.1008213264668</v>
      </c>
      <c r="F28" s="6" t="s">
        <v>60</v>
      </c>
      <c r="G28" s="16" t="str">
        <f t="shared" si="4"/>
        <v>31292.488</v>
      </c>
      <c r="H28" s="14">
        <f t="shared" si="5"/>
        <v>666</v>
      </c>
      <c r="I28" s="44" t="s">
        <v>100</v>
      </c>
      <c r="J28" s="45" t="s">
        <v>101</v>
      </c>
      <c r="K28" s="44">
        <v>666</v>
      </c>
      <c r="L28" s="44" t="s">
        <v>102</v>
      </c>
      <c r="M28" s="45" t="s">
        <v>66</v>
      </c>
      <c r="N28" s="45"/>
      <c r="O28" s="46" t="s">
        <v>75</v>
      </c>
      <c r="P28" s="46" t="s">
        <v>76</v>
      </c>
    </row>
    <row r="29" spans="1:16" ht="12.75" customHeight="1" thickBot="1">
      <c r="A29" s="14" t="str">
        <f t="shared" si="0"/>
        <v> BRNO 30.43 </v>
      </c>
      <c r="B29" s="6" t="str">
        <f t="shared" si="1"/>
        <v>I</v>
      </c>
      <c r="C29" s="14">
        <f t="shared" si="2"/>
        <v>32805.404000000002</v>
      </c>
      <c r="D29" s="16" t="str">
        <f t="shared" si="3"/>
        <v>vis</v>
      </c>
      <c r="E29" s="43">
        <f>VLOOKUP(C29,Active!C$21:E$973,3,FALSE)</f>
        <v>3124.0935365320152</v>
      </c>
      <c r="F29" s="6" t="s">
        <v>60</v>
      </c>
      <c r="G29" s="16" t="str">
        <f t="shared" si="4"/>
        <v>32805.404</v>
      </c>
      <c r="H29" s="14">
        <f t="shared" si="5"/>
        <v>830</v>
      </c>
      <c r="I29" s="44" t="s">
        <v>103</v>
      </c>
      <c r="J29" s="45" t="s">
        <v>104</v>
      </c>
      <c r="K29" s="44">
        <v>830</v>
      </c>
      <c r="L29" s="44" t="s">
        <v>105</v>
      </c>
      <c r="M29" s="45" t="s">
        <v>66</v>
      </c>
      <c r="N29" s="45"/>
      <c r="O29" s="46" t="s">
        <v>75</v>
      </c>
      <c r="P29" s="46" t="s">
        <v>76</v>
      </c>
    </row>
    <row r="30" spans="1:16" ht="12.75" customHeight="1" thickBot="1">
      <c r="A30" s="14" t="str">
        <f t="shared" si="0"/>
        <v> BRNO 30.43 </v>
      </c>
      <c r="B30" s="6" t="str">
        <f t="shared" si="1"/>
        <v>I</v>
      </c>
      <c r="C30" s="14">
        <f t="shared" si="2"/>
        <v>32832.33</v>
      </c>
      <c r="D30" s="16" t="str">
        <f t="shared" si="3"/>
        <v>vis</v>
      </c>
      <c r="E30" s="43">
        <f>VLOOKUP(C30,Active!C$21:E$973,3,FALSE)</f>
        <v>3135.0922118382609</v>
      </c>
      <c r="F30" s="6" t="s">
        <v>60</v>
      </c>
      <c r="G30" s="16" t="str">
        <f t="shared" si="4"/>
        <v>32832.330</v>
      </c>
      <c r="H30" s="14">
        <f t="shared" si="5"/>
        <v>833</v>
      </c>
      <c r="I30" s="44" t="s">
        <v>106</v>
      </c>
      <c r="J30" s="45" t="s">
        <v>107</v>
      </c>
      <c r="K30" s="44">
        <v>833</v>
      </c>
      <c r="L30" s="44" t="s">
        <v>108</v>
      </c>
      <c r="M30" s="45" t="s">
        <v>66</v>
      </c>
      <c r="N30" s="45"/>
      <c r="O30" s="46" t="s">
        <v>75</v>
      </c>
      <c r="P30" s="46" t="s">
        <v>76</v>
      </c>
    </row>
    <row r="31" spans="1:16" ht="12.75" customHeight="1" thickBot="1">
      <c r="A31" s="14" t="str">
        <f t="shared" si="0"/>
        <v> BRNO 30.43 </v>
      </c>
      <c r="B31" s="6" t="str">
        <f t="shared" si="1"/>
        <v>II</v>
      </c>
      <c r="C31" s="14">
        <f t="shared" si="2"/>
        <v>36164.275000000001</v>
      </c>
      <c r="D31" s="16" t="str">
        <f t="shared" si="3"/>
        <v>vis</v>
      </c>
      <c r="E31" s="43">
        <f>VLOOKUP(C31,Active!C$21:E$973,3,FALSE)</f>
        <v>4496.1180304994095</v>
      </c>
      <c r="F31" s="6" t="s">
        <v>60</v>
      </c>
      <c r="G31" s="16" t="str">
        <f t="shared" si="4"/>
        <v>36164.275</v>
      </c>
      <c r="H31" s="14">
        <f t="shared" si="5"/>
        <v>1194.5</v>
      </c>
      <c r="I31" s="44" t="s">
        <v>109</v>
      </c>
      <c r="J31" s="45" t="s">
        <v>110</v>
      </c>
      <c r="K31" s="44">
        <v>1194.5</v>
      </c>
      <c r="L31" s="44" t="s">
        <v>111</v>
      </c>
      <c r="M31" s="45" t="s">
        <v>66</v>
      </c>
      <c r="N31" s="45"/>
      <c r="O31" s="46" t="s">
        <v>75</v>
      </c>
      <c r="P31" s="46" t="s">
        <v>76</v>
      </c>
    </row>
    <row r="32" spans="1:16" ht="12.75" customHeight="1" thickBot="1">
      <c r="A32" s="14" t="str">
        <f t="shared" si="0"/>
        <v> BRNO 30.43 </v>
      </c>
      <c r="B32" s="6" t="str">
        <f t="shared" si="1"/>
        <v>II</v>
      </c>
      <c r="C32" s="14">
        <f t="shared" si="2"/>
        <v>36421.402999999998</v>
      </c>
      <c r="D32" s="16" t="str">
        <f t="shared" si="3"/>
        <v>vis</v>
      </c>
      <c r="E32" s="43">
        <f>VLOOKUP(C32,Active!C$21:E$973,3,FALSE)</f>
        <v>4601.1491299625459</v>
      </c>
      <c r="F32" s="6" t="s">
        <v>60</v>
      </c>
      <c r="G32" s="16" t="str">
        <f t="shared" si="4"/>
        <v>36421.403</v>
      </c>
      <c r="H32" s="14">
        <f t="shared" si="5"/>
        <v>1222.5</v>
      </c>
      <c r="I32" s="44" t="s">
        <v>112</v>
      </c>
      <c r="J32" s="45" t="s">
        <v>113</v>
      </c>
      <c r="K32" s="44">
        <v>1222.5</v>
      </c>
      <c r="L32" s="44" t="s">
        <v>114</v>
      </c>
      <c r="M32" s="45" t="s">
        <v>66</v>
      </c>
      <c r="N32" s="45"/>
      <c r="O32" s="46" t="s">
        <v>75</v>
      </c>
      <c r="P32" s="46" t="s">
        <v>76</v>
      </c>
    </row>
    <row r="33" spans="1:16" ht="12.75" customHeight="1" thickBot="1">
      <c r="A33" s="14" t="str">
        <f t="shared" si="0"/>
        <v> BRNO 30.43 </v>
      </c>
      <c r="B33" s="6" t="str">
        <f t="shared" si="1"/>
        <v>I</v>
      </c>
      <c r="C33" s="14">
        <f t="shared" si="2"/>
        <v>36820.451999999997</v>
      </c>
      <c r="D33" s="16" t="str">
        <f t="shared" si="3"/>
        <v>vis</v>
      </c>
      <c r="E33" s="43">
        <f>VLOOKUP(C33,Active!C$21:E$973,3,FALSE)</f>
        <v>4764.1518181554511</v>
      </c>
      <c r="F33" s="6" t="s">
        <v>60</v>
      </c>
      <c r="G33" s="16" t="str">
        <f t="shared" si="4"/>
        <v>36820.452</v>
      </c>
      <c r="H33" s="14">
        <f t="shared" si="5"/>
        <v>1266</v>
      </c>
      <c r="I33" s="44" t="s">
        <v>115</v>
      </c>
      <c r="J33" s="45" t="s">
        <v>116</v>
      </c>
      <c r="K33" s="44">
        <v>1266</v>
      </c>
      <c r="L33" s="44" t="s">
        <v>117</v>
      </c>
      <c r="M33" s="45" t="s">
        <v>66</v>
      </c>
      <c r="N33" s="45"/>
      <c r="O33" s="46" t="s">
        <v>75</v>
      </c>
      <c r="P33" s="46" t="s">
        <v>76</v>
      </c>
    </row>
    <row r="34" spans="1:16" ht="12.75" customHeight="1" thickBot="1">
      <c r="A34" s="14" t="str">
        <f t="shared" si="0"/>
        <v> BRNO 30.43 </v>
      </c>
      <c r="B34" s="6" t="str">
        <f t="shared" si="1"/>
        <v>I</v>
      </c>
      <c r="C34" s="14">
        <f t="shared" si="2"/>
        <v>36847.385000000002</v>
      </c>
      <c r="D34" s="16" t="str">
        <f t="shared" si="3"/>
        <v>vis</v>
      </c>
      <c r="E34" s="43">
        <f>VLOOKUP(C34,Active!C$21:E$973,3,FALSE)</f>
        <v>4775.1533528068358</v>
      </c>
      <c r="F34" s="6" t="s">
        <v>60</v>
      </c>
      <c r="G34" s="16" t="str">
        <f t="shared" si="4"/>
        <v>36847.385</v>
      </c>
      <c r="H34" s="14">
        <f t="shared" si="5"/>
        <v>1269</v>
      </c>
      <c r="I34" s="44" t="s">
        <v>118</v>
      </c>
      <c r="J34" s="45" t="s">
        <v>119</v>
      </c>
      <c r="K34" s="44">
        <v>1269</v>
      </c>
      <c r="L34" s="44" t="s">
        <v>120</v>
      </c>
      <c r="M34" s="45" t="s">
        <v>66</v>
      </c>
      <c r="N34" s="45"/>
      <c r="O34" s="46" t="s">
        <v>75</v>
      </c>
      <c r="P34" s="46" t="s">
        <v>76</v>
      </c>
    </row>
    <row r="35" spans="1:16" ht="12.75" customHeight="1" thickBot="1">
      <c r="A35" s="14" t="str">
        <f t="shared" si="0"/>
        <v> BRNO 30.43 </v>
      </c>
      <c r="B35" s="6" t="str">
        <f t="shared" si="1"/>
        <v>II</v>
      </c>
      <c r="C35" s="14">
        <f t="shared" si="2"/>
        <v>36896.313999999998</v>
      </c>
      <c r="D35" s="16" t="str">
        <f t="shared" si="3"/>
        <v>vis</v>
      </c>
      <c r="E35" s="43">
        <f>VLOOKUP(C35,Active!C$21:E$973,3,FALSE)</f>
        <v>4795.1397668326572</v>
      </c>
      <c r="F35" s="6" t="s">
        <v>60</v>
      </c>
      <c r="G35" s="16" t="str">
        <f t="shared" si="4"/>
        <v>36896.314</v>
      </c>
      <c r="H35" s="14">
        <f t="shared" si="5"/>
        <v>1274.5</v>
      </c>
      <c r="I35" s="44" t="s">
        <v>121</v>
      </c>
      <c r="J35" s="45" t="s">
        <v>122</v>
      </c>
      <c r="K35" s="44">
        <v>1274.5</v>
      </c>
      <c r="L35" s="44" t="s">
        <v>123</v>
      </c>
      <c r="M35" s="45" t="s">
        <v>66</v>
      </c>
      <c r="N35" s="45"/>
      <c r="O35" s="46" t="s">
        <v>75</v>
      </c>
      <c r="P35" s="46" t="s">
        <v>76</v>
      </c>
    </row>
    <row r="36" spans="1:16" ht="12.75" customHeight="1" thickBot="1">
      <c r="A36" s="14" t="str">
        <f t="shared" si="0"/>
        <v> BRNO 30.43 </v>
      </c>
      <c r="B36" s="6" t="str">
        <f t="shared" si="1"/>
        <v>I</v>
      </c>
      <c r="C36" s="14">
        <f t="shared" si="2"/>
        <v>37907.447999999997</v>
      </c>
      <c r="D36" s="16" t="str">
        <f t="shared" si="3"/>
        <v>vis</v>
      </c>
      <c r="E36" s="43">
        <f>VLOOKUP(C36,Active!C$21:E$973,3,FALSE)</f>
        <v>5208.1656361450614</v>
      </c>
      <c r="F36" s="6" t="s">
        <v>60</v>
      </c>
      <c r="G36" s="16" t="str">
        <f t="shared" si="4"/>
        <v>37907.448</v>
      </c>
      <c r="H36" s="14">
        <f t="shared" si="5"/>
        <v>1384</v>
      </c>
      <c r="I36" s="44" t="s">
        <v>124</v>
      </c>
      <c r="J36" s="45" t="s">
        <v>125</v>
      </c>
      <c r="K36" s="44">
        <v>1384</v>
      </c>
      <c r="L36" s="44" t="s">
        <v>126</v>
      </c>
      <c r="M36" s="45" t="s">
        <v>66</v>
      </c>
      <c r="N36" s="45"/>
      <c r="O36" s="46" t="s">
        <v>75</v>
      </c>
      <c r="P36" s="46" t="s">
        <v>76</v>
      </c>
    </row>
    <row r="37" spans="1:16" ht="12.75" customHeight="1" thickBot="1">
      <c r="A37" s="14" t="str">
        <f t="shared" si="0"/>
        <v> BRNO 30.43 </v>
      </c>
      <c r="B37" s="6" t="str">
        <f t="shared" si="1"/>
        <v>I</v>
      </c>
      <c r="C37" s="14">
        <f t="shared" si="2"/>
        <v>37988.322999999997</v>
      </c>
      <c r="D37" s="16" t="str">
        <f t="shared" si="3"/>
        <v>vis</v>
      </c>
      <c r="E37" s="43">
        <f>VLOOKUP(C37,Active!C$21:E$973,3,FALSE)</f>
        <v>5241.2012844178334</v>
      </c>
      <c r="F37" s="6" t="s">
        <v>60</v>
      </c>
      <c r="G37" s="16" t="str">
        <f t="shared" si="4"/>
        <v>37988.323</v>
      </c>
      <c r="H37" s="14">
        <f t="shared" si="5"/>
        <v>1393</v>
      </c>
      <c r="I37" s="44" t="s">
        <v>127</v>
      </c>
      <c r="J37" s="45" t="s">
        <v>128</v>
      </c>
      <c r="K37" s="44">
        <v>1393</v>
      </c>
      <c r="L37" s="44" t="s">
        <v>129</v>
      </c>
      <c r="M37" s="45" t="s">
        <v>66</v>
      </c>
      <c r="N37" s="45"/>
      <c r="O37" s="46" t="s">
        <v>75</v>
      </c>
      <c r="P37" s="46" t="s">
        <v>76</v>
      </c>
    </row>
    <row r="38" spans="1:16" ht="12.75" customHeight="1" thickBot="1">
      <c r="A38" s="14" t="str">
        <f t="shared" si="0"/>
        <v> BRNO 30.43 </v>
      </c>
      <c r="B38" s="6" t="str">
        <f t="shared" si="1"/>
        <v>I</v>
      </c>
      <c r="C38" s="14">
        <f t="shared" si="2"/>
        <v>38088.68</v>
      </c>
      <c r="D38" s="16" t="str">
        <f t="shared" si="3"/>
        <v>vis</v>
      </c>
      <c r="E38" s="43">
        <f>VLOOKUP(C38,Active!C$21:E$973,3,FALSE)</f>
        <v>5282.1948986831894</v>
      </c>
      <c r="F38" s="6" t="s">
        <v>60</v>
      </c>
      <c r="G38" s="16" t="str">
        <f t="shared" si="4"/>
        <v>38088.680</v>
      </c>
      <c r="H38" s="14">
        <f t="shared" si="5"/>
        <v>1404</v>
      </c>
      <c r="I38" s="44" t="s">
        <v>130</v>
      </c>
      <c r="J38" s="45" t="s">
        <v>131</v>
      </c>
      <c r="K38" s="44">
        <v>1404</v>
      </c>
      <c r="L38" s="44" t="s">
        <v>132</v>
      </c>
      <c r="M38" s="45" t="s">
        <v>66</v>
      </c>
      <c r="N38" s="45"/>
      <c r="O38" s="46" t="s">
        <v>75</v>
      </c>
      <c r="P38" s="46" t="s">
        <v>76</v>
      </c>
    </row>
    <row r="39" spans="1:16" ht="12.75" customHeight="1" thickBot="1">
      <c r="A39" s="14" t="str">
        <f t="shared" si="0"/>
        <v> BRNO 30.43 </v>
      </c>
      <c r="B39" s="6" t="str">
        <f t="shared" si="1"/>
        <v>I</v>
      </c>
      <c r="C39" s="14">
        <f t="shared" si="2"/>
        <v>38284.425000000003</v>
      </c>
      <c r="D39" s="16" t="str">
        <f t="shared" si="3"/>
        <v>vis</v>
      </c>
      <c r="E39" s="43">
        <f>VLOOKUP(C39,Active!C$21:E$973,3,FALSE)</f>
        <v>5362.1524006449054</v>
      </c>
      <c r="F39" s="6" t="s">
        <v>60</v>
      </c>
      <c r="G39" s="16" t="str">
        <f t="shared" si="4"/>
        <v>38284.425</v>
      </c>
      <c r="H39" s="14">
        <f t="shared" si="5"/>
        <v>1425</v>
      </c>
      <c r="I39" s="44" t="s">
        <v>133</v>
      </c>
      <c r="J39" s="45" t="s">
        <v>134</v>
      </c>
      <c r="K39" s="44">
        <v>1425</v>
      </c>
      <c r="L39" s="44" t="s">
        <v>135</v>
      </c>
      <c r="M39" s="45" t="s">
        <v>66</v>
      </c>
      <c r="N39" s="45"/>
      <c r="O39" s="46" t="s">
        <v>75</v>
      </c>
      <c r="P39" s="46" t="s">
        <v>76</v>
      </c>
    </row>
    <row r="40" spans="1:16" ht="12.75" customHeight="1" thickBot="1">
      <c r="A40" s="14" t="str">
        <f t="shared" si="0"/>
        <v> BRNO 30.43 </v>
      </c>
      <c r="B40" s="6" t="str">
        <f t="shared" si="1"/>
        <v>I</v>
      </c>
      <c r="C40" s="14">
        <f t="shared" si="2"/>
        <v>38311.343999999997</v>
      </c>
      <c r="D40" s="16" t="str">
        <f t="shared" si="3"/>
        <v>vis</v>
      </c>
      <c r="E40" s="43">
        <f>VLOOKUP(C40,Active!C$21:E$973,3,FALSE)</f>
        <v>5373.1482166060132</v>
      </c>
      <c r="F40" s="6" t="s">
        <v>60</v>
      </c>
      <c r="G40" s="16" t="str">
        <f t="shared" si="4"/>
        <v>38311.344</v>
      </c>
      <c r="H40" s="14">
        <f t="shared" si="5"/>
        <v>1428</v>
      </c>
      <c r="I40" s="44" t="s">
        <v>136</v>
      </c>
      <c r="J40" s="45" t="s">
        <v>137</v>
      </c>
      <c r="K40" s="44">
        <v>1428</v>
      </c>
      <c r="L40" s="44" t="s">
        <v>138</v>
      </c>
      <c r="M40" s="45" t="s">
        <v>66</v>
      </c>
      <c r="N40" s="45"/>
      <c r="O40" s="46" t="s">
        <v>75</v>
      </c>
      <c r="P40" s="46" t="s">
        <v>76</v>
      </c>
    </row>
    <row r="41" spans="1:16" ht="12.75" customHeight="1" thickBot="1">
      <c r="A41" s="14" t="str">
        <f t="shared" si="0"/>
        <v> BRNO 30.43 </v>
      </c>
      <c r="B41" s="6" t="str">
        <f t="shared" si="1"/>
        <v>II</v>
      </c>
      <c r="C41" s="14">
        <f t="shared" si="2"/>
        <v>38370.271000000001</v>
      </c>
      <c r="D41" s="16" t="str">
        <f t="shared" si="3"/>
        <v>vis</v>
      </c>
      <c r="E41" s="43">
        <f>VLOOKUP(C41,Active!C$21:E$973,3,FALSE)</f>
        <v>5397.2185924424239</v>
      </c>
      <c r="F41" s="6" t="s">
        <v>60</v>
      </c>
      <c r="G41" s="16" t="str">
        <f t="shared" si="4"/>
        <v>38370.271</v>
      </c>
      <c r="H41" s="14">
        <f t="shared" si="5"/>
        <v>1434.5</v>
      </c>
      <c r="I41" s="44" t="s">
        <v>139</v>
      </c>
      <c r="J41" s="45" t="s">
        <v>140</v>
      </c>
      <c r="K41" s="44">
        <v>1434.5</v>
      </c>
      <c r="L41" s="44" t="s">
        <v>141</v>
      </c>
      <c r="M41" s="45" t="s">
        <v>66</v>
      </c>
      <c r="N41" s="45"/>
      <c r="O41" s="46" t="s">
        <v>75</v>
      </c>
      <c r="P41" s="46" t="s">
        <v>76</v>
      </c>
    </row>
    <row r="42" spans="1:16" ht="12.75" customHeight="1" thickBot="1">
      <c r="A42" s="14" t="str">
        <f t="shared" si="0"/>
        <v> BRNO 30.43 </v>
      </c>
      <c r="B42" s="6" t="str">
        <f t="shared" si="1"/>
        <v>II</v>
      </c>
      <c r="C42" s="14">
        <f t="shared" si="2"/>
        <v>38590.510999999999</v>
      </c>
      <c r="D42" s="16" t="str">
        <f t="shared" si="3"/>
        <v>vis</v>
      </c>
      <c r="E42" s="43">
        <f>VLOOKUP(C42,Active!C$21:E$973,3,FALSE)</f>
        <v>5487.181759992287</v>
      </c>
      <c r="F42" s="6" t="s">
        <v>60</v>
      </c>
      <c r="G42" s="16" t="str">
        <f t="shared" si="4"/>
        <v>38590.511</v>
      </c>
      <c r="H42" s="14">
        <f t="shared" si="5"/>
        <v>1458.5</v>
      </c>
      <c r="I42" s="44" t="s">
        <v>142</v>
      </c>
      <c r="J42" s="45" t="s">
        <v>143</v>
      </c>
      <c r="K42" s="44">
        <v>1458.5</v>
      </c>
      <c r="L42" s="44" t="s">
        <v>144</v>
      </c>
      <c r="M42" s="45" t="s">
        <v>66</v>
      </c>
      <c r="N42" s="45"/>
      <c r="O42" s="46" t="s">
        <v>75</v>
      </c>
      <c r="P42" s="46" t="s">
        <v>76</v>
      </c>
    </row>
    <row r="43" spans="1:16" ht="12.75" customHeight="1" thickBot="1">
      <c r="A43" s="14" t="str">
        <f t="shared" ref="A43:A74" si="6">P43</f>
        <v> BRNO 30.43 </v>
      </c>
      <c r="B43" s="6" t="str">
        <f t="shared" ref="B43:B74" si="7">IF(H43=INT(H43),"I","II")</f>
        <v>I</v>
      </c>
      <c r="C43" s="14">
        <f t="shared" ref="C43:C74" si="8">1*G43</f>
        <v>38671.362999999998</v>
      </c>
      <c r="D43" s="16" t="str">
        <f t="shared" ref="D43:D74" si="9">VLOOKUP(F43,I$1:J$5,2,FALSE)</f>
        <v>vis</v>
      </c>
      <c r="E43" s="43">
        <f>VLOOKUP(C43,Active!C$21:E$973,3,FALSE)</f>
        <v>5520.2080132738956</v>
      </c>
      <c r="F43" s="6" t="s">
        <v>60</v>
      </c>
      <c r="G43" s="16" t="str">
        <f t="shared" ref="G43:G74" si="10">MID(I43,3,LEN(I43)-3)</f>
        <v>38671.363</v>
      </c>
      <c r="H43" s="14">
        <f t="shared" ref="H43:H74" si="11">1*K43</f>
        <v>1467</v>
      </c>
      <c r="I43" s="44" t="s">
        <v>145</v>
      </c>
      <c r="J43" s="45" t="s">
        <v>146</v>
      </c>
      <c r="K43" s="44">
        <v>1467</v>
      </c>
      <c r="L43" s="44" t="s">
        <v>147</v>
      </c>
      <c r="M43" s="45" t="s">
        <v>66</v>
      </c>
      <c r="N43" s="45"/>
      <c r="O43" s="46" t="s">
        <v>75</v>
      </c>
      <c r="P43" s="46" t="s">
        <v>76</v>
      </c>
    </row>
    <row r="44" spans="1:16" ht="12.75" customHeight="1" thickBot="1">
      <c r="A44" s="14" t="str">
        <f t="shared" si="6"/>
        <v> BRNO 30.43 </v>
      </c>
      <c r="B44" s="6" t="str">
        <f t="shared" si="7"/>
        <v>I</v>
      </c>
      <c r="C44" s="14">
        <f t="shared" si="8"/>
        <v>39021.330999999998</v>
      </c>
      <c r="D44" s="16" t="str">
        <f t="shared" si="9"/>
        <v>vis</v>
      </c>
      <c r="E44" s="43">
        <f>VLOOKUP(C44,Active!C$21:E$973,3,FALSE)</f>
        <v>5663.1621988037305</v>
      </c>
      <c r="F44" s="6" t="s">
        <v>60</v>
      </c>
      <c r="G44" s="16" t="str">
        <f t="shared" si="10"/>
        <v>39021.331</v>
      </c>
      <c r="H44" s="14">
        <f t="shared" si="11"/>
        <v>1505</v>
      </c>
      <c r="I44" s="44" t="s">
        <v>148</v>
      </c>
      <c r="J44" s="45" t="s">
        <v>149</v>
      </c>
      <c r="K44" s="44">
        <v>1505</v>
      </c>
      <c r="L44" s="44" t="s">
        <v>150</v>
      </c>
      <c r="M44" s="45" t="s">
        <v>66</v>
      </c>
      <c r="N44" s="45"/>
      <c r="O44" s="46" t="s">
        <v>75</v>
      </c>
      <c r="P44" s="46" t="s">
        <v>76</v>
      </c>
    </row>
    <row r="45" spans="1:16" ht="12.75" customHeight="1" thickBot="1">
      <c r="A45" s="14" t="str">
        <f t="shared" si="6"/>
        <v> BRNO 30.43 </v>
      </c>
      <c r="B45" s="6" t="str">
        <f t="shared" si="7"/>
        <v>I</v>
      </c>
      <c r="C45" s="14">
        <f t="shared" si="8"/>
        <v>39026.358999999997</v>
      </c>
      <c r="D45" s="16" t="str">
        <f t="shared" si="9"/>
        <v>vis</v>
      </c>
      <c r="E45" s="43">
        <f>VLOOKUP(C45,Active!C$21:E$973,3,FALSE)</f>
        <v>5665.2160255674453</v>
      </c>
      <c r="F45" s="6" t="s">
        <v>60</v>
      </c>
      <c r="G45" s="16" t="str">
        <f t="shared" si="10"/>
        <v>39026.359</v>
      </c>
      <c r="H45" s="14">
        <f t="shared" si="11"/>
        <v>1506</v>
      </c>
      <c r="I45" s="44" t="s">
        <v>151</v>
      </c>
      <c r="J45" s="45" t="s">
        <v>152</v>
      </c>
      <c r="K45" s="44">
        <v>1506</v>
      </c>
      <c r="L45" s="44" t="s">
        <v>153</v>
      </c>
      <c r="M45" s="45" t="s">
        <v>66</v>
      </c>
      <c r="N45" s="45"/>
      <c r="O45" s="46" t="s">
        <v>75</v>
      </c>
      <c r="P45" s="46" t="s">
        <v>76</v>
      </c>
    </row>
    <row r="46" spans="1:16" ht="12.75" customHeight="1" thickBot="1">
      <c r="A46" s="14" t="str">
        <f t="shared" si="6"/>
        <v> BRNO 30.43 </v>
      </c>
      <c r="B46" s="6" t="str">
        <f t="shared" si="7"/>
        <v>I</v>
      </c>
      <c r="C46" s="14">
        <f t="shared" si="8"/>
        <v>39349.436999999998</v>
      </c>
      <c r="D46" s="16" t="str">
        <f t="shared" si="9"/>
        <v>vis</v>
      </c>
      <c r="E46" s="43">
        <f>VLOOKUP(C46,Active!C$21:E$973,3,FALSE)</f>
        <v>5797.1862409945934</v>
      </c>
      <c r="F46" s="6" t="s">
        <v>60</v>
      </c>
      <c r="G46" s="16" t="str">
        <f t="shared" si="10"/>
        <v>39349.437</v>
      </c>
      <c r="H46" s="14">
        <f t="shared" si="11"/>
        <v>1541</v>
      </c>
      <c r="I46" s="44" t="s">
        <v>154</v>
      </c>
      <c r="J46" s="45" t="s">
        <v>155</v>
      </c>
      <c r="K46" s="44">
        <v>1541</v>
      </c>
      <c r="L46" s="44" t="s">
        <v>156</v>
      </c>
      <c r="M46" s="45" t="s">
        <v>66</v>
      </c>
      <c r="N46" s="45"/>
      <c r="O46" s="46" t="s">
        <v>75</v>
      </c>
      <c r="P46" s="46" t="s">
        <v>76</v>
      </c>
    </row>
    <row r="47" spans="1:16" ht="12.75" customHeight="1" thickBot="1">
      <c r="A47" s="14" t="str">
        <f t="shared" si="6"/>
        <v> BRNO 30.43 </v>
      </c>
      <c r="B47" s="6" t="str">
        <f t="shared" si="7"/>
        <v>I</v>
      </c>
      <c r="C47" s="14">
        <f t="shared" si="8"/>
        <v>39682.470999999998</v>
      </c>
      <c r="D47" s="16" t="str">
        <f t="shared" si="9"/>
        <v>vis</v>
      </c>
      <c r="E47" s="43">
        <f>VLOOKUP(C47,Active!C$21:E$973,3,FALSE)</f>
        <v>5933.2232621615085</v>
      </c>
      <c r="F47" s="6" t="s">
        <v>60</v>
      </c>
      <c r="G47" s="16" t="str">
        <f t="shared" si="10"/>
        <v>39682.471</v>
      </c>
      <c r="H47" s="14">
        <f t="shared" si="11"/>
        <v>1577</v>
      </c>
      <c r="I47" s="44" t="s">
        <v>157</v>
      </c>
      <c r="J47" s="45" t="s">
        <v>158</v>
      </c>
      <c r="K47" s="44">
        <v>1577</v>
      </c>
      <c r="L47" s="44" t="s">
        <v>159</v>
      </c>
      <c r="M47" s="45" t="s">
        <v>66</v>
      </c>
      <c r="N47" s="45"/>
      <c r="O47" s="46" t="s">
        <v>75</v>
      </c>
      <c r="P47" s="46" t="s">
        <v>76</v>
      </c>
    </row>
    <row r="48" spans="1:16" ht="12.75" customHeight="1" thickBot="1">
      <c r="A48" s="14" t="str">
        <f t="shared" si="6"/>
        <v> BRNO 30.43 </v>
      </c>
      <c r="B48" s="6" t="str">
        <f t="shared" si="7"/>
        <v>II</v>
      </c>
      <c r="C48" s="14">
        <f t="shared" si="8"/>
        <v>40507.377999999997</v>
      </c>
      <c r="D48" s="16" t="str">
        <f t="shared" si="9"/>
        <v>vis</v>
      </c>
      <c r="E48" s="43">
        <f>VLOOKUP(C48,Active!C$21:E$973,3,FALSE)</f>
        <v>6270.1795219420001</v>
      </c>
      <c r="F48" s="6" t="s">
        <v>60</v>
      </c>
      <c r="G48" s="16" t="str">
        <f t="shared" si="10"/>
        <v>40507.378</v>
      </c>
      <c r="H48" s="14">
        <f t="shared" si="11"/>
        <v>1666.5</v>
      </c>
      <c r="I48" s="44" t="s">
        <v>160</v>
      </c>
      <c r="J48" s="45" t="s">
        <v>161</v>
      </c>
      <c r="K48" s="44">
        <v>1666.5</v>
      </c>
      <c r="L48" s="44" t="s">
        <v>162</v>
      </c>
      <c r="M48" s="45" t="s">
        <v>66</v>
      </c>
      <c r="N48" s="45"/>
      <c r="O48" s="46" t="s">
        <v>75</v>
      </c>
      <c r="P48" s="46" t="s">
        <v>76</v>
      </c>
    </row>
    <row r="49" spans="1:16" ht="12.75" customHeight="1" thickBot="1">
      <c r="A49" s="14" t="str">
        <f t="shared" si="6"/>
        <v> BRNO 30.43 </v>
      </c>
      <c r="B49" s="6" t="str">
        <f t="shared" si="7"/>
        <v>I</v>
      </c>
      <c r="C49" s="14">
        <f t="shared" si="8"/>
        <v>40512.341999999997</v>
      </c>
      <c r="D49" s="16" t="str">
        <f t="shared" si="9"/>
        <v>vis</v>
      </c>
      <c r="E49" s="43">
        <f>VLOOKUP(C49,Active!C$21:E$973,3,FALSE)</f>
        <v>6272.2072061216113</v>
      </c>
      <c r="F49" s="6" t="s">
        <v>60</v>
      </c>
      <c r="G49" s="16" t="str">
        <f t="shared" si="10"/>
        <v>40512.342</v>
      </c>
      <c r="H49" s="14">
        <f t="shared" si="11"/>
        <v>1667</v>
      </c>
      <c r="I49" s="44" t="s">
        <v>163</v>
      </c>
      <c r="J49" s="45" t="s">
        <v>164</v>
      </c>
      <c r="K49" s="44">
        <v>1667</v>
      </c>
      <c r="L49" s="44" t="s">
        <v>165</v>
      </c>
      <c r="M49" s="45" t="s">
        <v>66</v>
      </c>
      <c r="N49" s="45"/>
      <c r="O49" s="46" t="s">
        <v>75</v>
      </c>
      <c r="P49" s="46" t="s">
        <v>76</v>
      </c>
    </row>
    <row r="50" spans="1:16" ht="12.75" customHeight="1" thickBot="1">
      <c r="A50" s="14" t="str">
        <f t="shared" si="6"/>
        <v>IBVS 3309 </v>
      </c>
      <c r="B50" s="6" t="str">
        <f t="shared" si="7"/>
        <v>I</v>
      </c>
      <c r="C50" s="14">
        <f t="shared" si="8"/>
        <v>40916.275999999998</v>
      </c>
      <c r="D50" s="16" t="str">
        <f t="shared" si="9"/>
        <v>vis</v>
      </c>
      <c r="E50" s="43">
        <f>VLOOKUP(C50,Active!C$21:E$973,3,FALSE)</f>
        <v>6437.2053087418744</v>
      </c>
      <c r="F50" s="6" t="s">
        <v>60</v>
      </c>
      <c r="G50" s="16" t="str">
        <f t="shared" si="10"/>
        <v>40916.276</v>
      </c>
      <c r="H50" s="14">
        <f t="shared" si="11"/>
        <v>1711</v>
      </c>
      <c r="I50" s="44" t="s">
        <v>166</v>
      </c>
      <c r="J50" s="45" t="s">
        <v>167</v>
      </c>
      <c r="K50" s="44">
        <v>1711</v>
      </c>
      <c r="L50" s="44" t="s">
        <v>168</v>
      </c>
      <c r="M50" s="45" t="s">
        <v>66</v>
      </c>
      <c r="N50" s="45"/>
      <c r="O50" s="46" t="s">
        <v>169</v>
      </c>
      <c r="P50" s="47" t="s">
        <v>170</v>
      </c>
    </row>
    <row r="51" spans="1:16" ht="12.75" customHeight="1" thickBot="1">
      <c r="A51" s="14" t="str">
        <f t="shared" si="6"/>
        <v>IBVS 3309 </v>
      </c>
      <c r="B51" s="6" t="str">
        <f t="shared" si="7"/>
        <v>I</v>
      </c>
      <c r="C51" s="14">
        <f t="shared" si="8"/>
        <v>41163.519</v>
      </c>
      <c r="D51" s="16" t="str">
        <f t="shared" si="9"/>
        <v>vis</v>
      </c>
      <c r="E51" s="43">
        <f>VLOOKUP(C51,Active!C$21:E$973,3,FALSE)</f>
        <v>6538.1986043944862</v>
      </c>
      <c r="F51" s="6" t="s">
        <v>60</v>
      </c>
      <c r="G51" s="16" t="str">
        <f t="shared" si="10"/>
        <v>41163.519</v>
      </c>
      <c r="H51" s="14">
        <f t="shared" si="11"/>
        <v>1738</v>
      </c>
      <c r="I51" s="44" t="s">
        <v>171</v>
      </c>
      <c r="J51" s="45" t="s">
        <v>172</v>
      </c>
      <c r="K51" s="44">
        <v>1738</v>
      </c>
      <c r="L51" s="44" t="s">
        <v>173</v>
      </c>
      <c r="M51" s="45" t="s">
        <v>66</v>
      </c>
      <c r="N51" s="45"/>
      <c r="O51" s="46" t="s">
        <v>169</v>
      </c>
      <c r="P51" s="47" t="s">
        <v>170</v>
      </c>
    </row>
    <row r="52" spans="1:16" ht="12.75" customHeight="1" thickBot="1">
      <c r="A52" s="14" t="str">
        <f t="shared" si="6"/>
        <v>IBVS 3309 </v>
      </c>
      <c r="B52" s="6" t="str">
        <f t="shared" si="7"/>
        <v>I</v>
      </c>
      <c r="C52" s="14">
        <f t="shared" si="8"/>
        <v>41217.336000000003</v>
      </c>
      <c r="D52" s="16" t="str">
        <f t="shared" si="9"/>
        <v>vis</v>
      </c>
      <c r="E52" s="43">
        <f>VLOOKUP(C52,Active!C$21:E$973,3,FALSE)</f>
        <v>6560.1816582812971</v>
      </c>
      <c r="F52" s="6" t="s">
        <v>60</v>
      </c>
      <c r="G52" s="16" t="str">
        <f t="shared" si="10"/>
        <v>41217.336</v>
      </c>
      <c r="H52" s="14">
        <f t="shared" si="11"/>
        <v>1744</v>
      </c>
      <c r="I52" s="44" t="s">
        <v>174</v>
      </c>
      <c r="J52" s="45" t="s">
        <v>175</v>
      </c>
      <c r="K52" s="44">
        <v>1744</v>
      </c>
      <c r="L52" s="44" t="s">
        <v>176</v>
      </c>
      <c r="M52" s="45" t="s">
        <v>66</v>
      </c>
      <c r="N52" s="45"/>
      <c r="O52" s="46" t="s">
        <v>169</v>
      </c>
      <c r="P52" s="47" t="s">
        <v>170</v>
      </c>
    </row>
    <row r="53" spans="1:16" ht="12.75" customHeight="1" thickBot="1">
      <c r="A53" s="14" t="str">
        <f t="shared" si="6"/>
        <v> BRNO 30.43 </v>
      </c>
      <c r="B53" s="6" t="str">
        <f t="shared" si="7"/>
        <v>I</v>
      </c>
      <c r="C53" s="14">
        <f t="shared" si="8"/>
        <v>41217.398999999998</v>
      </c>
      <c r="D53" s="16" t="str">
        <f t="shared" si="9"/>
        <v>vis</v>
      </c>
      <c r="E53" s="43">
        <f>VLOOKUP(C53,Active!C$21:E$973,3,FALSE)</f>
        <v>6560.2073923875232</v>
      </c>
      <c r="F53" s="6" t="s">
        <v>60</v>
      </c>
      <c r="G53" s="16" t="str">
        <f t="shared" si="10"/>
        <v>41217.399</v>
      </c>
      <c r="H53" s="14">
        <f t="shared" si="11"/>
        <v>1744</v>
      </c>
      <c r="I53" s="44" t="s">
        <v>177</v>
      </c>
      <c r="J53" s="45" t="s">
        <v>178</v>
      </c>
      <c r="K53" s="44">
        <v>1744</v>
      </c>
      <c r="L53" s="44" t="s">
        <v>179</v>
      </c>
      <c r="M53" s="45" t="s">
        <v>66</v>
      </c>
      <c r="N53" s="45"/>
      <c r="O53" s="46" t="s">
        <v>75</v>
      </c>
      <c r="P53" s="46" t="s">
        <v>76</v>
      </c>
    </row>
    <row r="54" spans="1:16" ht="12.75" customHeight="1" thickBot="1">
      <c r="A54" s="14" t="str">
        <f t="shared" si="6"/>
        <v>IBVS 3309 </v>
      </c>
      <c r="B54" s="6" t="str">
        <f t="shared" si="7"/>
        <v>II</v>
      </c>
      <c r="C54" s="14">
        <f t="shared" si="8"/>
        <v>41572.370999999999</v>
      </c>
      <c r="D54" s="16" t="str">
        <f t="shared" si="9"/>
        <v>vis</v>
      </c>
      <c r="E54" s="43">
        <f>VLOOKUP(C54,Active!C$21:E$973,3,FALSE)</f>
        <v>6705.2056012120347</v>
      </c>
      <c r="F54" s="6" t="s">
        <v>60</v>
      </c>
      <c r="G54" s="16" t="str">
        <f t="shared" si="10"/>
        <v>41572.371</v>
      </c>
      <c r="H54" s="14">
        <f t="shared" si="11"/>
        <v>1782.5</v>
      </c>
      <c r="I54" s="44" t="s">
        <v>180</v>
      </c>
      <c r="J54" s="45" t="s">
        <v>181</v>
      </c>
      <c r="K54" s="44">
        <v>1782.5</v>
      </c>
      <c r="L54" s="44" t="s">
        <v>182</v>
      </c>
      <c r="M54" s="45" t="s">
        <v>66</v>
      </c>
      <c r="N54" s="45"/>
      <c r="O54" s="46" t="s">
        <v>169</v>
      </c>
      <c r="P54" s="47" t="s">
        <v>170</v>
      </c>
    </row>
    <row r="55" spans="1:16" ht="12.75" customHeight="1" thickBot="1">
      <c r="A55" s="14" t="str">
        <f t="shared" si="6"/>
        <v> BRNO 30.43 </v>
      </c>
      <c r="B55" s="6" t="str">
        <f t="shared" si="7"/>
        <v>II</v>
      </c>
      <c r="C55" s="14">
        <f t="shared" si="8"/>
        <v>41599.353000000003</v>
      </c>
      <c r="D55" s="16" t="str">
        <f t="shared" si="9"/>
        <v>vis</v>
      </c>
      <c r="E55" s="43">
        <f>VLOOKUP(C55,Active!C$21:E$973,3,FALSE)</f>
        <v>6716.2271512793732</v>
      </c>
      <c r="F55" s="6" t="s">
        <v>60</v>
      </c>
      <c r="G55" s="16" t="str">
        <f t="shared" si="10"/>
        <v>41599.353</v>
      </c>
      <c r="H55" s="14">
        <f t="shared" si="11"/>
        <v>1785.5</v>
      </c>
      <c r="I55" s="44" t="s">
        <v>183</v>
      </c>
      <c r="J55" s="45" t="s">
        <v>184</v>
      </c>
      <c r="K55" s="44">
        <v>1785.5</v>
      </c>
      <c r="L55" s="44" t="s">
        <v>185</v>
      </c>
      <c r="M55" s="45" t="s">
        <v>66</v>
      </c>
      <c r="N55" s="45"/>
      <c r="O55" s="46" t="s">
        <v>75</v>
      </c>
      <c r="P55" s="46" t="s">
        <v>76</v>
      </c>
    </row>
    <row r="56" spans="1:16" ht="12.75" customHeight="1" thickBot="1">
      <c r="A56" s="14" t="str">
        <f t="shared" si="6"/>
        <v> BRNO 30.43 </v>
      </c>
      <c r="B56" s="6" t="str">
        <f t="shared" si="7"/>
        <v>I</v>
      </c>
      <c r="C56" s="14">
        <f t="shared" si="8"/>
        <v>41900.387000000002</v>
      </c>
      <c r="D56" s="16" t="str">
        <f t="shared" si="9"/>
        <v>vis</v>
      </c>
      <c r="E56" s="43">
        <f>VLOOKUP(C56,Active!C$21:E$973,3,FALSE)</f>
        <v>6839.1928803940018</v>
      </c>
      <c r="F56" s="6" t="s">
        <v>60</v>
      </c>
      <c r="G56" s="16" t="str">
        <f t="shared" si="10"/>
        <v>41900.387</v>
      </c>
      <c r="H56" s="14">
        <f t="shared" si="11"/>
        <v>1818</v>
      </c>
      <c r="I56" s="44" t="s">
        <v>186</v>
      </c>
      <c r="J56" s="45" t="s">
        <v>187</v>
      </c>
      <c r="K56" s="44">
        <v>1818</v>
      </c>
      <c r="L56" s="44" t="s">
        <v>188</v>
      </c>
      <c r="M56" s="45" t="s">
        <v>66</v>
      </c>
      <c r="N56" s="45"/>
      <c r="O56" s="46" t="s">
        <v>75</v>
      </c>
      <c r="P56" s="46" t="s">
        <v>76</v>
      </c>
    </row>
    <row r="57" spans="1:16" ht="12.75" customHeight="1" thickBot="1">
      <c r="A57" s="14" t="str">
        <f t="shared" si="6"/>
        <v> BRNO 30.43 </v>
      </c>
      <c r="B57" s="6" t="str">
        <f t="shared" si="7"/>
        <v>I</v>
      </c>
      <c r="C57" s="14">
        <f t="shared" si="8"/>
        <v>41900.428</v>
      </c>
      <c r="D57" s="16" t="str">
        <f t="shared" si="9"/>
        <v>vis</v>
      </c>
      <c r="E57" s="43">
        <f>VLOOKUP(C57,Active!C$21:E$973,3,FALSE)</f>
        <v>6839.2096279869429</v>
      </c>
      <c r="F57" s="6" t="s">
        <v>60</v>
      </c>
      <c r="G57" s="16" t="str">
        <f t="shared" si="10"/>
        <v>41900.428</v>
      </c>
      <c r="H57" s="14">
        <f t="shared" si="11"/>
        <v>1818</v>
      </c>
      <c r="I57" s="44" t="s">
        <v>189</v>
      </c>
      <c r="J57" s="45" t="s">
        <v>190</v>
      </c>
      <c r="K57" s="44">
        <v>1818</v>
      </c>
      <c r="L57" s="44" t="s">
        <v>191</v>
      </c>
      <c r="M57" s="45" t="s">
        <v>66</v>
      </c>
      <c r="N57" s="45"/>
      <c r="O57" s="46" t="s">
        <v>75</v>
      </c>
      <c r="P57" s="46" t="s">
        <v>76</v>
      </c>
    </row>
    <row r="58" spans="1:16" ht="12.75" customHeight="1" thickBot="1">
      <c r="A58" s="14" t="str">
        <f t="shared" si="6"/>
        <v> BRNO 30.43 </v>
      </c>
      <c r="B58" s="6" t="str">
        <f t="shared" si="7"/>
        <v>I</v>
      </c>
      <c r="C58" s="14">
        <f t="shared" si="8"/>
        <v>41900.455000000002</v>
      </c>
      <c r="D58" s="16" t="str">
        <f t="shared" si="9"/>
        <v>vis</v>
      </c>
      <c r="E58" s="43">
        <f>VLOOKUP(C58,Active!C$21:E$973,3,FALSE)</f>
        <v>6839.2206568896127</v>
      </c>
      <c r="F58" s="6" t="s">
        <v>60</v>
      </c>
      <c r="G58" s="16" t="str">
        <f t="shared" si="10"/>
        <v>41900.455</v>
      </c>
      <c r="H58" s="14">
        <f t="shared" si="11"/>
        <v>1818</v>
      </c>
      <c r="I58" s="44" t="s">
        <v>192</v>
      </c>
      <c r="J58" s="45" t="s">
        <v>193</v>
      </c>
      <c r="K58" s="44">
        <v>1818</v>
      </c>
      <c r="L58" s="44" t="s">
        <v>194</v>
      </c>
      <c r="M58" s="45" t="s">
        <v>66</v>
      </c>
      <c r="N58" s="45"/>
      <c r="O58" s="46" t="s">
        <v>75</v>
      </c>
      <c r="P58" s="46" t="s">
        <v>76</v>
      </c>
    </row>
    <row r="59" spans="1:16" ht="12.75" customHeight="1" thickBot="1">
      <c r="A59" s="14" t="str">
        <f t="shared" si="6"/>
        <v> BRNO 30.43 </v>
      </c>
      <c r="B59" s="6" t="str">
        <f t="shared" si="7"/>
        <v>II</v>
      </c>
      <c r="C59" s="14">
        <f t="shared" si="8"/>
        <v>41922.434000000001</v>
      </c>
      <c r="D59" s="16" t="str">
        <f t="shared" si="9"/>
        <v>vis</v>
      </c>
      <c r="E59" s="43">
        <f>VLOOKUP(C59,Active!C$21:E$973,3,FALSE)</f>
        <v>6848.1985921401501</v>
      </c>
      <c r="F59" s="6" t="s">
        <v>60</v>
      </c>
      <c r="G59" s="16" t="str">
        <f t="shared" si="10"/>
        <v>41922.434</v>
      </c>
      <c r="H59" s="14">
        <f t="shared" si="11"/>
        <v>1820.5</v>
      </c>
      <c r="I59" s="44" t="s">
        <v>195</v>
      </c>
      <c r="J59" s="45" t="s">
        <v>196</v>
      </c>
      <c r="K59" s="44">
        <v>1820.5</v>
      </c>
      <c r="L59" s="44" t="s">
        <v>182</v>
      </c>
      <c r="M59" s="45" t="s">
        <v>62</v>
      </c>
      <c r="N59" s="45"/>
      <c r="O59" s="46" t="s">
        <v>75</v>
      </c>
      <c r="P59" s="46" t="s">
        <v>76</v>
      </c>
    </row>
    <row r="60" spans="1:16" ht="12.75" customHeight="1" thickBot="1">
      <c r="A60" s="14" t="str">
        <f t="shared" si="6"/>
        <v>IBVS 3309 </v>
      </c>
      <c r="B60" s="6" t="str">
        <f t="shared" si="7"/>
        <v>I</v>
      </c>
      <c r="C60" s="14">
        <f t="shared" si="8"/>
        <v>41927.4</v>
      </c>
      <c r="D60" s="16" t="str">
        <f t="shared" si="9"/>
        <v>vis</v>
      </c>
      <c r="E60" s="43">
        <f>VLOOKUP(C60,Active!C$21:E$973,3,FALSE)</f>
        <v>6850.2270932755146</v>
      </c>
      <c r="F60" s="6" t="s">
        <v>60</v>
      </c>
      <c r="G60" s="16" t="str">
        <f t="shared" si="10"/>
        <v>41927.400</v>
      </c>
      <c r="H60" s="14">
        <f t="shared" si="11"/>
        <v>1821</v>
      </c>
      <c r="I60" s="44" t="s">
        <v>197</v>
      </c>
      <c r="J60" s="45" t="s">
        <v>198</v>
      </c>
      <c r="K60" s="44">
        <v>1821</v>
      </c>
      <c r="L60" s="44" t="s">
        <v>199</v>
      </c>
      <c r="M60" s="45" t="s">
        <v>66</v>
      </c>
      <c r="N60" s="45"/>
      <c r="O60" s="46" t="s">
        <v>169</v>
      </c>
      <c r="P60" s="47" t="s">
        <v>170</v>
      </c>
    </row>
    <row r="61" spans="1:16" ht="12.75" customHeight="1" thickBot="1">
      <c r="A61" s="14" t="str">
        <f t="shared" si="6"/>
        <v> BRNO 30.43 </v>
      </c>
      <c r="B61" s="6" t="str">
        <f t="shared" si="7"/>
        <v>I</v>
      </c>
      <c r="C61" s="14">
        <f t="shared" si="8"/>
        <v>42358.286</v>
      </c>
      <c r="D61" s="16" t="str">
        <f t="shared" si="9"/>
        <v>vis</v>
      </c>
      <c r="E61" s="43">
        <f>VLOOKUP(C61,Active!C$21:E$973,3,FALSE)</f>
        <v>7026.2344916268157</v>
      </c>
      <c r="F61" s="6" t="s">
        <v>60</v>
      </c>
      <c r="G61" s="16" t="str">
        <f t="shared" si="10"/>
        <v>42358.286</v>
      </c>
      <c r="H61" s="14">
        <f t="shared" si="11"/>
        <v>1868</v>
      </c>
      <c r="I61" s="44" t="s">
        <v>200</v>
      </c>
      <c r="J61" s="45" t="s">
        <v>201</v>
      </c>
      <c r="K61" s="44">
        <v>1868</v>
      </c>
      <c r="L61" s="44" t="s">
        <v>202</v>
      </c>
      <c r="M61" s="45" t="s">
        <v>66</v>
      </c>
      <c r="N61" s="45"/>
      <c r="O61" s="46" t="s">
        <v>75</v>
      </c>
      <c r="P61" s="46" t="s">
        <v>76</v>
      </c>
    </row>
    <row r="62" spans="1:16" ht="12.75" customHeight="1" thickBot="1">
      <c r="A62" s="14" t="str">
        <f t="shared" si="6"/>
        <v> BRNO 30.43 </v>
      </c>
      <c r="B62" s="6" t="str">
        <f t="shared" si="7"/>
        <v>I</v>
      </c>
      <c r="C62" s="14">
        <f t="shared" si="8"/>
        <v>42600.487000000001</v>
      </c>
      <c r="D62" s="16" t="str">
        <f t="shared" si="9"/>
        <v>vis</v>
      </c>
      <c r="E62" s="43">
        <f>VLOOKUP(C62,Active!C$21:E$973,3,FALSE)</f>
        <v>7125.1682418254386</v>
      </c>
      <c r="F62" s="6" t="s">
        <v>60</v>
      </c>
      <c r="G62" s="16" t="str">
        <f t="shared" si="10"/>
        <v>42600.487</v>
      </c>
      <c r="H62" s="14">
        <f t="shared" si="11"/>
        <v>1894</v>
      </c>
      <c r="I62" s="44" t="s">
        <v>203</v>
      </c>
      <c r="J62" s="45" t="s">
        <v>204</v>
      </c>
      <c r="K62" s="44">
        <v>1894</v>
      </c>
      <c r="L62" s="44" t="s">
        <v>205</v>
      </c>
      <c r="M62" s="45" t="s">
        <v>66</v>
      </c>
      <c r="N62" s="45"/>
      <c r="O62" s="46" t="s">
        <v>75</v>
      </c>
      <c r="P62" s="46" t="s">
        <v>76</v>
      </c>
    </row>
    <row r="63" spans="1:16" ht="12.75" customHeight="1" thickBot="1">
      <c r="A63" s="14" t="str">
        <f t="shared" si="6"/>
        <v> BRNO 30.43 </v>
      </c>
      <c r="B63" s="6" t="str">
        <f t="shared" si="7"/>
        <v>I</v>
      </c>
      <c r="C63" s="14">
        <f t="shared" si="8"/>
        <v>42627.463000000003</v>
      </c>
      <c r="D63" s="16" t="str">
        <f t="shared" si="9"/>
        <v>vis</v>
      </c>
      <c r="E63" s="43">
        <f>VLOOKUP(C63,Active!C$21:E$973,3,FALSE)</f>
        <v>7136.1873410255166</v>
      </c>
      <c r="F63" s="6" t="s">
        <v>60</v>
      </c>
      <c r="G63" s="16" t="str">
        <f t="shared" si="10"/>
        <v>42627.463</v>
      </c>
      <c r="H63" s="14">
        <f t="shared" si="11"/>
        <v>1897</v>
      </c>
      <c r="I63" s="44" t="s">
        <v>206</v>
      </c>
      <c r="J63" s="45" t="s">
        <v>207</v>
      </c>
      <c r="K63" s="44">
        <v>1897</v>
      </c>
      <c r="L63" s="44" t="s">
        <v>208</v>
      </c>
      <c r="M63" s="45" t="s">
        <v>66</v>
      </c>
      <c r="N63" s="45"/>
      <c r="O63" s="46" t="s">
        <v>75</v>
      </c>
      <c r="P63" s="46" t="s">
        <v>76</v>
      </c>
    </row>
    <row r="64" spans="1:16" ht="12.75" customHeight="1" thickBot="1">
      <c r="A64" s="14" t="str">
        <f t="shared" si="6"/>
        <v> BRNO 30.43 </v>
      </c>
      <c r="B64" s="6" t="str">
        <f t="shared" si="7"/>
        <v>II</v>
      </c>
      <c r="C64" s="14">
        <f t="shared" si="8"/>
        <v>42632.485000000001</v>
      </c>
      <c r="D64" s="16" t="str">
        <f t="shared" si="9"/>
        <v>vis</v>
      </c>
      <c r="E64" s="43">
        <f>VLOOKUP(C64,Active!C$21:E$973,3,FALSE)</f>
        <v>7138.2387169219719</v>
      </c>
      <c r="F64" s="6" t="s">
        <v>60</v>
      </c>
      <c r="G64" s="16" t="str">
        <f t="shared" si="10"/>
        <v>42632.485</v>
      </c>
      <c r="H64" s="14">
        <f t="shared" si="11"/>
        <v>1897.5</v>
      </c>
      <c r="I64" s="44" t="s">
        <v>209</v>
      </c>
      <c r="J64" s="45" t="s">
        <v>210</v>
      </c>
      <c r="K64" s="44">
        <v>1897.5</v>
      </c>
      <c r="L64" s="44" t="s">
        <v>211</v>
      </c>
      <c r="M64" s="45" t="s">
        <v>66</v>
      </c>
      <c r="N64" s="45"/>
      <c r="O64" s="46" t="s">
        <v>75</v>
      </c>
      <c r="P64" s="46" t="s">
        <v>76</v>
      </c>
    </row>
    <row r="65" spans="1:16" ht="12.75" customHeight="1" thickBot="1">
      <c r="A65" s="14" t="str">
        <f t="shared" si="6"/>
        <v> BRNO 30.43 </v>
      </c>
      <c r="B65" s="6" t="str">
        <f t="shared" si="7"/>
        <v>I</v>
      </c>
      <c r="C65" s="14">
        <f t="shared" si="8"/>
        <v>43014.355000000003</v>
      </c>
      <c r="D65" s="16" t="str">
        <f t="shared" si="9"/>
        <v>vis</v>
      </c>
      <c r="E65" s="43">
        <f>VLOOKUP(C65,Active!C$21:E$973,3,FALSE)</f>
        <v>7294.2241636721837</v>
      </c>
      <c r="F65" s="6" t="s">
        <v>60</v>
      </c>
      <c r="G65" s="16" t="str">
        <f t="shared" si="10"/>
        <v>43014.355</v>
      </c>
      <c r="H65" s="14">
        <f t="shared" si="11"/>
        <v>1939</v>
      </c>
      <c r="I65" s="44" t="s">
        <v>212</v>
      </c>
      <c r="J65" s="45" t="s">
        <v>213</v>
      </c>
      <c r="K65" s="44">
        <v>1939</v>
      </c>
      <c r="L65" s="44" t="s">
        <v>214</v>
      </c>
      <c r="M65" s="45" t="s">
        <v>66</v>
      </c>
      <c r="N65" s="45"/>
      <c r="O65" s="46" t="s">
        <v>75</v>
      </c>
      <c r="P65" s="46" t="s">
        <v>76</v>
      </c>
    </row>
    <row r="66" spans="1:16" ht="12.75" customHeight="1" thickBot="1">
      <c r="A66" s="14" t="str">
        <f t="shared" si="6"/>
        <v> BRNO 30.43 </v>
      </c>
      <c r="B66" s="6" t="str">
        <f t="shared" si="7"/>
        <v>I</v>
      </c>
      <c r="C66" s="14">
        <f t="shared" si="8"/>
        <v>43014.396000000001</v>
      </c>
      <c r="D66" s="16" t="str">
        <f t="shared" si="9"/>
        <v>vis</v>
      </c>
      <c r="E66" s="43">
        <f>VLOOKUP(C66,Active!C$21:E$973,3,FALSE)</f>
        <v>7294.2409112651249</v>
      </c>
      <c r="F66" s="6" t="s">
        <v>60</v>
      </c>
      <c r="G66" s="16" t="str">
        <f t="shared" si="10"/>
        <v>43014.396</v>
      </c>
      <c r="H66" s="14">
        <f t="shared" si="11"/>
        <v>1939</v>
      </c>
      <c r="I66" s="44" t="s">
        <v>215</v>
      </c>
      <c r="J66" s="45" t="s">
        <v>216</v>
      </c>
      <c r="K66" s="44">
        <v>1939</v>
      </c>
      <c r="L66" s="44" t="s">
        <v>217</v>
      </c>
      <c r="M66" s="45" t="s">
        <v>66</v>
      </c>
      <c r="N66" s="45"/>
      <c r="O66" s="46" t="s">
        <v>75</v>
      </c>
      <c r="P66" s="46" t="s">
        <v>76</v>
      </c>
    </row>
    <row r="67" spans="1:16" ht="12.75" customHeight="1" thickBot="1">
      <c r="A67" s="14" t="str">
        <f t="shared" si="6"/>
        <v> BRNO 30.43 </v>
      </c>
      <c r="B67" s="6" t="str">
        <f t="shared" si="7"/>
        <v>I</v>
      </c>
      <c r="C67" s="14">
        <f t="shared" si="8"/>
        <v>43337.485999999997</v>
      </c>
      <c r="D67" s="16" t="str">
        <f t="shared" si="9"/>
        <v>vis</v>
      </c>
      <c r="E67" s="43">
        <f>VLOOKUP(C67,Active!C$21:E$973,3,FALSE)</f>
        <v>7426.2160284267902</v>
      </c>
      <c r="F67" s="6" t="s">
        <v>60</v>
      </c>
      <c r="G67" s="16" t="str">
        <f t="shared" si="10"/>
        <v>43337.486</v>
      </c>
      <c r="H67" s="14">
        <f t="shared" si="11"/>
        <v>1974</v>
      </c>
      <c r="I67" s="44" t="s">
        <v>218</v>
      </c>
      <c r="J67" s="45" t="s">
        <v>219</v>
      </c>
      <c r="K67" s="44">
        <v>1974</v>
      </c>
      <c r="L67" s="44" t="s">
        <v>220</v>
      </c>
      <c r="M67" s="45" t="s">
        <v>66</v>
      </c>
      <c r="N67" s="45"/>
      <c r="O67" s="46" t="s">
        <v>75</v>
      </c>
      <c r="P67" s="46" t="s">
        <v>76</v>
      </c>
    </row>
    <row r="68" spans="1:16" ht="12.75" customHeight="1" thickBot="1">
      <c r="A68" s="14" t="str">
        <f t="shared" si="6"/>
        <v>IBVS 3309 </v>
      </c>
      <c r="B68" s="6" t="str">
        <f t="shared" si="7"/>
        <v>I</v>
      </c>
      <c r="C68" s="14">
        <f t="shared" si="8"/>
        <v>43337.521999999997</v>
      </c>
      <c r="D68" s="16" t="str">
        <f t="shared" si="9"/>
        <v>vis</v>
      </c>
      <c r="E68" s="43">
        <f>VLOOKUP(C68,Active!C$21:E$973,3,FALSE)</f>
        <v>7426.2307336303493</v>
      </c>
      <c r="F68" s="6" t="s">
        <v>60</v>
      </c>
      <c r="G68" s="16" t="str">
        <f t="shared" si="10"/>
        <v>43337.522</v>
      </c>
      <c r="H68" s="14">
        <f t="shared" si="11"/>
        <v>1974</v>
      </c>
      <c r="I68" s="44" t="s">
        <v>221</v>
      </c>
      <c r="J68" s="45" t="s">
        <v>222</v>
      </c>
      <c r="K68" s="44">
        <v>1974</v>
      </c>
      <c r="L68" s="44" t="s">
        <v>223</v>
      </c>
      <c r="M68" s="45" t="s">
        <v>66</v>
      </c>
      <c r="N68" s="45"/>
      <c r="O68" s="46" t="s">
        <v>169</v>
      </c>
      <c r="P68" s="47" t="s">
        <v>170</v>
      </c>
    </row>
    <row r="69" spans="1:16" ht="12.75" customHeight="1" thickBot="1">
      <c r="A69" s="14" t="str">
        <f t="shared" si="6"/>
        <v>IBVS 3309 </v>
      </c>
      <c r="B69" s="6" t="str">
        <f t="shared" si="7"/>
        <v>II</v>
      </c>
      <c r="C69" s="14">
        <f t="shared" si="8"/>
        <v>43462.345999999998</v>
      </c>
      <c r="D69" s="16" t="str">
        <f t="shared" si="9"/>
        <v>vis</v>
      </c>
      <c r="E69" s="43">
        <f>VLOOKUP(C69,Active!C$21:E$973,3,FALSE)</f>
        <v>7477.218576103307</v>
      </c>
      <c r="F69" s="6" t="s">
        <v>60</v>
      </c>
      <c r="G69" s="16" t="str">
        <f t="shared" si="10"/>
        <v>43462.346</v>
      </c>
      <c r="H69" s="14">
        <f t="shared" si="11"/>
        <v>1987.5</v>
      </c>
      <c r="I69" s="44" t="s">
        <v>224</v>
      </c>
      <c r="J69" s="45" t="s">
        <v>225</v>
      </c>
      <c r="K69" s="44">
        <v>1987.5</v>
      </c>
      <c r="L69" s="44" t="s">
        <v>226</v>
      </c>
      <c r="M69" s="45" t="s">
        <v>66</v>
      </c>
      <c r="N69" s="45"/>
      <c r="O69" s="46" t="s">
        <v>169</v>
      </c>
      <c r="P69" s="47" t="s">
        <v>170</v>
      </c>
    </row>
    <row r="70" spans="1:16" ht="12.75" customHeight="1" thickBot="1">
      <c r="A70" s="14" t="str">
        <f t="shared" si="6"/>
        <v>IBVS 3309 </v>
      </c>
      <c r="B70" s="6" t="str">
        <f t="shared" si="7"/>
        <v>II</v>
      </c>
      <c r="C70" s="14">
        <f t="shared" si="8"/>
        <v>43462.398999999998</v>
      </c>
      <c r="D70" s="16" t="str">
        <f t="shared" si="9"/>
        <v>vis</v>
      </c>
      <c r="E70" s="43">
        <f>VLOOKUP(C70,Active!C$21:E$973,3,FALSE)</f>
        <v>7477.240225430769</v>
      </c>
      <c r="F70" s="6" t="s">
        <v>60</v>
      </c>
      <c r="G70" s="16" t="str">
        <f t="shared" si="10"/>
        <v>43462.399</v>
      </c>
      <c r="H70" s="14">
        <f t="shared" si="11"/>
        <v>1987.5</v>
      </c>
      <c r="I70" s="44" t="s">
        <v>227</v>
      </c>
      <c r="J70" s="45" t="s">
        <v>228</v>
      </c>
      <c r="K70" s="44">
        <v>1987.5</v>
      </c>
      <c r="L70" s="44" t="s">
        <v>229</v>
      </c>
      <c r="M70" s="45" t="s">
        <v>66</v>
      </c>
      <c r="N70" s="45"/>
      <c r="O70" s="46" t="s">
        <v>169</v>
      </c>
      <c r="P70" s="47" t="s">
        <v>170</v>
      </c>
    </row>
    <row r="71" spans="1:16" ht="12.75" customHeight="1" thickBot="1">
      <c r="A71" s="14" t="str">
        <f t="shared" si="6"/>
        <v> BRNO 30.43 </v>
      </c>
      <c r="B71" s="6" t="str">
        <f t="shared" si="7"/>
        <v>I</v>
      </c>
      <c r="C71" s="14">
        <f t="shared" si="8"/>
        <v>43790.413</v>
      </c>
      <c r="D71" s="16" t="str">
        <f t="shared" si="9"/>
        <v>vis</v>
      </c>
      <c r="E71" s="43">
        <f>VLOOKUP(C71,Active!C$21:E$973,3,FALSE)</f>
        <v>7611.2266876569829</v>
      </c>
      <c r="F71" s="6" t="s">
        <v>60</v>
      </c>
      <c r="G71" s="16" t="str">
        <f t="shared" si="10"/>
        <v>43790.413</v>
      </c>
      <c r="H71" s="14">
        <f t="shared" si="11"/>
        <v>2023</v>
      </c>
      <c r="I71" s="44" t="s">
        <v>230</v>
      </c>
      <c r="J71" s="45" t="s">
        <v>231</v>
      </c>
      <c r="K71" s="44">
        <v>2023</v>
      </c>
      <c r="L71" s="44" t="s">
        <v>232</v>
      </c>
      <c r="M71" s="45" t="s">
        <v>66</v>
      </c>
      <c r="N71" s="45"/>
      <c r="O71" s="46" t="s">
        <v>75</v>
      </c>
      <c r="P71" s="46" t="s">
        <v>76</v>
      </c>
    </row>
    <row r="72" spans="1:16" ht="12.75" customHeight="1" thickBot="1">
      <c r="A72" s="14" t="str">
        <f t="shared" si="6"/>
        <v>IBVS 3309 </v>
      </c>
      <c r="B72" s="6" t="str">
        <f t="shared" si="7"/>
        <v>II</v>
      </c>
      <c r="C72" s="14">
        <f t="shared" si="8"/>
        <v>44015.55</v>
      </c>
      <c r="D72" s="16" t="str">
        <f t="shared" si="9"/>
        <v>vis</v>
      </c>
      <c r="E72" s="43">
        <f>VLOOKUP(C72,Active!C$21:E$973,3,FALSE)</f>
        <v>7703.1901713687239</v>
      </c>
      <c r="F72" s="6" t="s">
        <v>60</v>
      </c>
      <c r="G72" s="16" t="str">
        <f t="shared" si="10"/>
        <v>44015.550</v>
      </c>
      <c r="H72" s="14">
        <f t="shared" si="11"/>
        <v>2047.5</v>
      </c>
      <c r="I72" s="44" t="s">
        <v>233</v>
      </c>
      <c r="J72" s="45" t="s">
        <v>234</v>
      </c>
      <c r="K72" s="44">
        <v>2047.5</v>
      </c>
      <c r="L72" s="44" t="s">
        <v>235</v>
      </c>
      <c r="M72" s="45" t="s">
        <v>66</v>
      </c>
      <c r="N72" s="45"/>
      <c r="O72" s="46" t="s">
        <v>169</v>
      </c>
      <c r="P72" s="47" t="s">
        <v>170</v>
      </c>
    </row>
    <row r="73" spans="1:16" ht="12.75" customHeight="1" thickBot="1">
      <c r="A73" s="14" t="str">
        <f t="shared" si="6"/>
        <v>IBVS 3309 </v>
      </c>
      <c r="B73" s="6" t="str">
        <f t="shared" si="7"/>
        <v>I</v>
      </c>
      <c r="C73" s="14">
        <f t="shared" si="8"/>
        <v>44221.315999999999</v>
      </c>
      <c r="D73" s="16" t="str">
        <f t="shared" si="9"/>
        <v>vis</v>
      </c>
      <c r="E73" s="43">
        <f>VLOOKUP(C73,Active!C$21:E$973,3,FALSE)</f>
        <v>7787.2410301321861</v>
      </c>
      <c r="F73" s="6" t="s">
        <v>60</v>
      </c>
      <c r="G73" s="16" t="str">
        <f t="shared" si="10"/>
        <v>44221.316</v>
      </c>
      <c r="H73" s="14">
        <f t="shared" si="11"/>
        <v>2070</v>
      </c>
      <c r="I73" s="44" t="s">
        <v>236</v>
      </c>
      <c r="J73" s="45" t="s">
        <v>237</v>
      </c>
      <c r="K73" s="44">
        <v>2070</v>
      </c>
      <c r="L73" s="44" t="s">
        <v>238</v>
      </c>
      <c r="M73" s="45" t="s">
        <v>66</v>
      </c>
      <c r="N73" s="45"/>
      <c r="O73" s="46" t="s">
        <v>169</v>
      </c>
      <c r="P73" s="47" t="s">
        <v>170</v>
      </c>
    </row>
    <row r="74" spans="1:16" ht="12.75" customHeight="1" thickBot="1">
      <c r="A74" s="14" t="str">
        <f t="shared" si="6"/>
        <v> BRNO 30.43 </v>
      </c>
      <c r="B74" s="6" t="str">
        <f t="shared" si="7"/>
        <v>I</v>
      </c>
      <c r="C74" s="14">
        <f t="shared" si="8"/>
        <v>44571.249000000003</v>
      </c>
      <c r="D74" s="16" t="str">
        <f t="shared" si="9"/>
        <v>vis</v>
      </c>
      <c r="E74" s="43">
        <f>VLOOKUP(C74,Active!C$21:E$973,3,FALSE)</f>
        <v>7930.1809189363403</v>
      </c>
      <c r="F74" s="6" t="s">
        <v>60</v>
      </c>
      <c r="G74" s="16" t="str">
        <f t="shared" si="10"/>
        <v>44571.249</v>
      </c>
      <c r="H74" s="14">
        <f t="shared" si="11"/>
        <v>2108</v>
      </c>
      <c r="I74" s="44" t="s">
        <v>239</v>
      </c>
      <c r="J74" s="45" t="s">
        <v>240</v>
      </c>
      <c r="K74" s="44">
        <v>2108</v>
      </c>
      <c r="L74" s="44" t="s">
        <v>241</v>
      </c>
      <c r="M74" s="45" t="s">
        <v>66</v>
      </c>
      <c r="N74" s="45"/>
      <c r="O74" s="46" t="s">
        <v>75</v>
      </c>
      <c r="P74" s="46" t="s">
        <v>76</v>
      </c>
    </row>
    <row r="75" spans="1:16" ht="12.75" customHeight="1" thickBot="1">
      <c r="A75" s="14" t="str">
        <f t="shared" ref="A75:A86" si="12">P75</f>
        <v>IBVS 3309 </v>
      </c>
      <c r="B75" s="6" t="str">
        <f t="shared" ref="B75:B86" si="13">IF(H75=INT(H75),"I","II")</f>
        <v>I</v>
      </c>
      <c r="C75" s="14">
        <f t="shared" ref="C75:C86" si="14">1*G75</f>
        <v>45227.396000000001</v>
      </c>
      <c r="D75" s="16" t="str">
        <f t="shared" ref="D75:D86" si="15">VLOOKUP(F75,I$1:J$5,2,FALSE)</f>
        <v>vis</v>
      </c>
      <c r="E75" s="43">
        <f>VLOOKUP(C75,Active!C$21:E$973,3,FALSE)</f>
        <v>8198.2024522560841</v>
      </c>
      <c r="F75" s="6" t="s">
        <v>60</v>
      </c>
      <c r="G75" s="16" t="str">
        <f t="shared" ref="G75:G86" si="16">MID(I75,3,LEN(I75)-3)</f>
        <v>45227.396</v>
      </c>
      <c r="H75" s="14">
        <f t="shared" ref="H75:H86" si="17">1*K75</f>
        <v>2179</v>
      </c>
      <c r="I75" s="44" t="s">
        <v>242</v>
      </c>
      <c r="J75" s="45" t="s">
        <v>243</v>
      </c>
      <c r="K75" s="44">
        <v>2179</v>
      </c>
      <c r="L75" s="44" t="s">
        <v>244</v>
      </c>
      <c r="M75" s="45" t="s">
        <v>62</v>
      </c>
      <c r="N75" s="45"/>
      <c r="O75" s="46" t="s">
        <v>169</v>
      </c>
      <c r="P75" s="47" t="s">
        <v>170</v>
      </c>
    </row>
    <row r="76" spans="1:16" ht="12.75" customHeight="1" thickBot="1">
      <c r="A76" s="14" t="str">
        <f t="shared" si="12"/>
        <v> BRNO 30.43 </v>
      </c>
      <c r="B76" s="6" t="str">
        <f t="shared" si="13"/>
        <v>I</v>
      </c>
      <c r="C76" s="14">
        <f t="shared" si="14"/>
        <v>45905.466</v>
      </c>
      <c r="D76" s="16" t="str">
        <f t="shared" si="15"/>
        <v>vis</v>
      </c>
      <c r="E76" s="43">
        <f>VLOOKUP(C76,Active!C$21:E$973,3,FALSE)</f>
        <v>8475.1790460652755</v>
      </c>
      <c r="F76" s="6" t="s">
        <v>60</v>
      </c>
      <c r="G76" s="16" t="str">
        <f t="shared" si="16"/>
        <v>45905.466</v>
      </c>
      <c r="H76" s="14">
        <f t="shared" si="17"/>
        <v>2253</v>
      </c>
      <c r="I76" s="44" t="s">
        <v>245</v>
      </c>
      <c r="J76" s="45" t="s">
        <v>246</v>
      </c>
      <c r="K76" s="44">
        <v>2253</v>
      </c>
      <c r="L76" s="44" t="s">
        <v>247</v>
      </c>
      <c r="M76" s="45" t="s">
        <v>66</v>
      </c>
      <c r="N76" s="45"/>
      <c r="O76" s="46" t="s">
        <v>75</v>
      </c>
      <c r="P76" s="46" t="s">
        <v>76</v>
      </c>
    </row>
    <row r="77" spans="1:16" ht="12.75" customHeight="1" thickBot="1">
      <c r="A77" s="14" t="str">
        <f t="shared" si="12"/>
        <v> BRNO 30.43 </v>
      </c>
      <c r="B77" s="6" t="str">
        <f t="shared" si="13"/>
        <v>II</v>
      </c>
      <c r="C77" s="14">
        <f t="shared" si="14"/>
        <v>46260.485000000001</v>
      </c>
      <c r="D77" s="16" t="str">
        <f t="shared" si="15"/>
        <v>vis</v>
      </c>
      <c r="E77" s="43">
        <f>VLOOKUP(C77,Active!C$21:E$973,3,FALSE)</f>
        <v>8620.1964533499868</v>
      </c>
      <c r="F77" s="6" t="s">
        <v>60</v>
      </c>
      <c r="G77" s="16" t="str">
        <f t="shared" si="16"/>
        <v>46260.485</v>
      </c>
      <c r="H77" s="14">
        <f t="shared" si="17"/>
        <v>2291.5</v>
      </c>
      <c r="I77" s="44" t="s">
        <v>248</v>
      </c>
      <c r="J77" s="45" t="s">
        <v>249</v>
      </c>
      <c r="K77" s="44">
        <v>2291.5</v>
      </c>
      <c r="L77" s="44" t="s">
        <v>250</v>
      </c>
      <c r="M77" s="45" t="s">
        <v>66</v>
      </c>
      <c r="N77" s="45"/>
      <c r="O77" s="46" t="s">
        <v>75</v>
      </c>
      <c r="P77" s="46" t="s">
        <v>76</v>
      </c>
    </row>
    <row r="78" spans="1:16" ht="12.75" customHeight="1" thickBot="1">
      <c r="A78" s="14" t="str">
        <f t="shared" si="12"/>
        <v> BRNO 30.43 </v>
      </c>
      <c r="B78" s="6" t="str">
        <f t="shared" si="13"/>
        <v>I</v>
      </c>
      <c r="C78" s="14">
        <f t="shared" si="14"/>
        <v>46385.27</v>
      </c>
      <c r="D78" s="16" t="str">
        <f t="shared" si="15"/>
        <v>vis</v>
      </c>
      <c r="E78" s="43">
        <f>VLOOKUP(C78,Active!C$21:E$973,3,FALSE)</f>
        <v>8671.1683651857547</v>
      </c>
      <c r="F78" s="6" t="s">
        <v>60</v>
      </c>
      <c r="G78" s="16" t="str">
        <f t="shared" si="16"/>
        <v>46385.270</v>
      </c>
      <c r="H78" s="14">
        <f t="shared" si="17"/>
        <v>2305</v>
      </c>
      <c r="I78" s="44" t="s">
        <v>251</v>
      </c>
      <c r="J78" s="45" t="s">
        <v>252</v>
      </c>
      <c r="K78" s="44">
        <v>2305</v>
      </c>
      <c r="L78" s="44" t="s">
        <v>253</v>
      </c>
      <c r="M78" s="45" t="s">
        <v>66</v>
      </c>
      <c r="N78" s="45"/>
      <c r="O78" s="46" t="s">
        <v>75</v>
      </c>
      <c r="P78" s="46" t="s">
        <v>76</v>
      </c>
    </row>
    <row r="79" spans="1:16" ht="12.75" customHeight="1" thickBot="1">
      <c r="A79" s="14" t="str">
        <f t="shared" si="12"/>
        <v> BRNO 30.43 </v>
      </c>
      <c r="B79" s="6" t="str">
        <f t="shared" si="13"/>
        <v>II</v>
      </c>
      <c r="C79" s="14">
        <f t="shared" si="14"/>
        <v>47413.529000000002</v>
      </c>
      <c r="D79" s="16" t="str">
        <f t="shared" si="15"/>
        <v>vis</v>
      </c>
      <c r="E79" s="43">
        <f>VLOOKUP(C79,Active!C$21:E$973,3,FALSE)</f>
        <v>9091.1894181355183</v>
      </c>
      <c r="F79" s="6" t="s">
        <v>60</v>
      </c>
      <c r="G79" s="16" t="str">
        <f t="shared" si="16"/>
        <v>47413.529</v>
      </c>
      <c r="H79" s="14">
        <f t="shared" si="17"/>
        <v>2416.5</v>
      </c>
      <c r="I79" s="44" t="s">
        <v>254</v>
      </c>
      <c r="J79" s="45" t="s">
        <v>255</v>
      </c>
      <c r="K79" s="44">
        <v>2416.5</v>
      </c>
      <c r="L79" s="44" t="s">
        <v>256</v>
      </c>
      <c r="M79" s="45" t="s">
        <v>66</v>
      </c>
      <c r="N79" s="45"/>
      <c r="O79" s="46" t="s">
        <v>75</v>
      </c>
      <c r="P79" s="46" t="s">
        <v>76</v>
      </c>
    </row>
    <row r="80" spans="1:16" ht="12.75" customHeight="1" thickBot="1">
      <c r="A80" s="14" t="str">
        <f t="shared" si="12"/>
        <v> BRNO 30.43 </v>
      </c>
      <c r="B80" s="6" t="str">
        <f t="shared" si="13"/>
        <v>I</v>
      </c>
      <c r="C80" s="14">
        <f t="shared" si="14"/>
        <v>47445.309000000001</v>
      </c>
      <c r="D80" s="16" t="str">
        <f t="shared" si="15"/>
        <v>vis</v>
      </c>
      <c r="E80" s="43">
        <f>VLOOKUP(C80,Active!C$21:E$973,3,FALSE)</f>
        <v>9104.1708450549468</v>
      </c>
      <c r="F80" s="6" t="s">
        <v>60</v>
      </c>
      <c r="G80" s="16" t="str">
        <f t="shared" si="16"/>
        <v>47445.309</v>
      </c>
      <c r="H80" s="14">
        <f t="shared" si="17"/>
        <v>2420</v>
      </c>
      <c r="I80" s="44" t="s">
        <v>257</v>
      </c>
      <c r="J80" s="45" t="s">
        <v>258</v>
      </c>
      <c r="K80" s="44">
        <v>2420</v>
      </c>
      <c r="L80" s="44" t="s">
        <v>259</v>
      </c>
      <c r="M80" s="45" t="s">
        <v>66</v>
      </c>
      <c r="N80" s="45"/>
      <c r="O80" s="46" t="s">
        <v>75</v>
      </c>
      <c r="P80" s="46" t="s">
        <v>76</v>
      </c>
    </row>
    <row r="81" spans="1:16" ht="12.75" customHeight="1" thickBot="1">
      <c r="A81" s="14" t="str">
        <f t="shared" si="12"/>
        <v> BRNO 30.43 </v>
      </c>
      <c r="B81" s="6" t="str">
        <f t="shared" si="13"/>
        <v>I</v>
      </c>
      <c r="C81" s="14">
        <f t="shared" si="14"/>
        <v>47445.345999999998</v>
      </c>
      <c r="D81" s="16" t="str">
        <f t="shared" si="15"/>
        <v>vis</v>
      </c>
      <c r="E81" s="43">
        <f>VLOOKUP(C81,Active!C$21:E$973,3,FALSE)</f>
        <v>9104.1859587363797</v>
      </c>
      <c r="F81" s="6" t="s">
        <v>60</v>
      </c>
      <c r="G81" s="16" t="str">
        <f t="shared" si="16"/>
        <v>47445.346</v>
      </c>
      <c r="H81" s="14">
        <f t="shared" si="17"/>
        <v>2420</v>
      </c>
      <c r="I81" s="44" t="s">
        <v>260</v>
      </c>
      <c r="J81" s="45" t="s">
        <v>261</v>
      </c>
      <c r="K81" s="44">
        <v>2420</v>
      </c>
      <c r="L81" s="44" t="s">
        <v>262</v>
      </c>
      <c r="M81" s="45" t="s">
        <v>66</v>
      </c>
      <c r="N81" s="45"/>
      <c r="O81" s="46" t="s">
        <v>75</v>
      </c>
      <c r="P81" s="46" t="s">
        <v>76</v>
      </c>
    </row>
    <row r="82" spans="1:16" ht="12.75" customHeight="1" thickBot="1">
      <c r="A82" s="14" t="str">
        <f t="shared" si="12"/>
        <v> BRNO 30.43 </v>
      </c>
      <c r="B82" s="6" t="str">
        <f t="shared" si="13"/>
        <v>I</v>
      </c>
      <c r="C82" s="14">
        <f t="shared" si="14"/>
        <v>47445.394</v>
      </c>
      <c r="D82" s="16" t="str">
        <f t="shared" si="15"/>
        <v>vis</v>
      </c>
      <c r="E82" s="43">
        <f>VLOOKUP(C82,Active!C$21:E$973,3,FALSE)</f>
        <v>9104.2055656744596</v>
      </c>
      <c r="F82" s="6" t="s">
        <v>60</v>
      </c>
      <c r="G82" s="16" t="str">
        <f t="shared" si="16"/>
        <v>47445.394</v>
      </c>
      <c r="H82" s="14">
        <f t="shared" si="17"/>
        <v>2420</v>
      </c>
      <c r="I82" s="44" t="s">
        <v>263</v>
      </c>
      <c r="J82" s="45" t="s">
        <v>264</v>
      </c>
      <c r="K82" s="44">
        <v>2420</v>
      </c>
      <c r="L82" s="44" t="s">
        <v>265</v>
      </c>
      <c r="M82" s="45" t="s">
        <v>66</v>
      </c>
      <c r="N82" s="45"/>
      <c r="O82" s="46" t="s">
        <v>75</v>
      </c>
      <c r="P82" s="46" t="s">
        <v>76</v>
      </c>
    </row>
    <row r="83" spans="1:16" ht="12.75" customHeight="1" thickBot="1">
      <c r="A83" s="14" t="str">
        <f t="shared" si="12"/>
        <v> BRNO 30.44 </v>
      </c>
      <c r="B83" s="6" t="str">
        <f t="shared" si="13"/>
        <v>II</v>
      </c>
      <c r="C83" s="14">
        <f t="shared" si="14"/>
        <v>47626.546999999999</v>
      </c>
      <c r="D83" s="16" t="str">
        <f t="shared" si="15"/>
        <v>vis</v>
      </c>
      <c r="E83" s="43">
        <f>VLOOKUP(C83,Active!C$21:E$973,3,FALSE)</f>
        <v>9178.2025584603307</v>
      </c>
      <c r="F83" s="6" t="s">
        <v>60</v>
      </c>
      <c r="G83" s="16" t="str">
        <f t="shared" si="16"/>
        <v>47626.547</v>
      </c>
      <c r="H83" s="14">
        <f t="shared" si="17"/>
        <v>2439.5</v>
      </c>
      <c r="I83" s="44" t="s">
        <v>266</v>
      </c>
      <c r="J83" s="45" t="s">
        <v>267</v>
      </c>
      <c r="K83" s="44">
        <v>2439.5</v>
      </c>
      <c r="L83" s="44" t="s">
        <v>268</v>
      </c>
      <c r="M83" s="45" t="s">
        <v>269</v>
      </c>
      <c r="N83" s="45"/>
      <c r="O83" s="46" t="s">
        <v>75</v>
      </c>
      <c r="P83" s="46" t="s">
        <v>270</v>
      </c>
    </row>
    <row r="84" spans="1:16" ht="12.75" customHeight="1" thickBot="1">
      <c r="A84" s="14" t="str">
        <f t="shared" si="12"/>
        <v> BRNO 30 </v>
      </c>
      <c r="B84" s="6" t="str">
        <f t="shared" si="13"/>
        <v>I</v>
      </c>
      <c r="C84" s="14">
        <f t="shared" si="14"/>
        <v>47648.578000000001</v>
      </c>
      <c r="D84" s="16" t="str">
        <f t="shared" si="15"/>
        <v>vis</v>
      </c>
      <c r="E84" s="43">
        <f>VLOOKUP(C84,Active!C$21:E$973,3,FALSE)</f>
        <v>9187.2017345604545</v>
      </c>
      <c r="F84" s="6" t="s">
        <v>60</v>
      </c>
      <c r="G84" s="16" t="str">
        <f t="shared" si="16"/>
        <v>47648.578</v>
      </c>
      <c r="H84" s="14">
        <f t="shared" si="17"/>
        <v>2442</v>
      </c>
      <c r="I84" s="44" t="s">
        <v>271</v>
      </c>
      <c r="J84" s="45" t="s">
        <v>272</v>
      </c>
      <c r="K84" s="44">
        <v>2442</v>
      </c>
      <c r="L84" s="44" t="s">
        <v>273</v>
      </c>
      <c r="M84" s="45" t="s">
        <v>269</v>
      </c>
      <c r="N84" s="45"/>
      <c r="O84" s="46" t="s">
        <v>274</v>
      </c>
      <c r="P84" s="46" t="s">
        <v>275</v>
      </c>
    </row>
    <row r="85" spans="1:16" ht="12.75" customHeight="1" thickBot="1">
      <c r="A85" s="14" t="str">
        <f t="shared" si="12"/>
        <v> BRNO 30.44 </v>
      </c>
      <c r="B85" s="6" t="str">
        <f t="shared" si="13"/>
        <v>I</v>
      </c>
      <c r="C85" s="14">
        <f t="shared" si="14"/>
        <v>47822.398000000001</v>
      </c>
      <c r="D85" s="16" t="str">
        <f t="shared" si="15"/>
        <v>pg</v>
      </c>
      <c r="E85" s="43">
        <f>VLOOKUP(C85,Active!C$21:E$973,3,FALSE)</f>
        <v>9258.2033590769697</v>
      </c>
      <c r="F85" s="6" t="str">
        <f>LEFT(M85,1)</f>
        <v>F</v>
      </c>
      <c r="G85" s="16" t="str">
        <f t="shared" si="16"/>
        <v>47822.398</v>
      </c>
      <c r="H85" s="14">
        <f t="shared" si="17"/>
        <v>2461</v>
      </c>
      <c r="I85" s="44" t="s">
        <v>281</v>
      </c>
      <c r="J85" s="45" t="s">
        <v>282</v>
      </c>
      <c r="K85" s="44">
        <v>2461</v>
      </c>
      <c r="L85" s="44" t="s">
        <v>283</v>
      </c>
      <c r="M85" s="45" t="s">
        <v>62</v>
      </c>
      <c r="N85" s="45"/>
      <c r="O85" s="46" t="s">
        <v>75</v>
      </c>
      <c r="P85" s="46" t="s">
        <v>270</v>
      </c>
    </row>
    <row r="86" spans="1:16" ht="12.75" customHeight="1" thickBot="1">
      <c r="A86" s="14" t="str">
        <f t="shared" si="12"/>
        <v>BAVM 193 </v>
      </c>
      <c r="B86" s="6" t="str">
        <f t="shared" si="13"/>
        <v>I</v>
      </c>
      <c r="C86" s="14">
        <f t="shared" si="14"/>
        <v>54307.454899999997</v>
      </c>
      <c r="D86" s="16" t="str">
        <f t="shared" si="15"/>
        <v>CCD</v>
      </c>
      <c r="E86" s="43">
        <f>VLOOKUP(C86,Active!C$21:E$973,3,FALSE)</f>
        <v>11907.205631439396</v>
      </c>
      <c r="F86" s="6" t="str">
        <f>LEFT(M86,1)</f>
        <v>C</v>
      </c>
      <c r="G86" s="16" t="str">
        <f t="shared" si="16"/>
        <v>54307.4549</v>
      </c>
      <c r="H86" s="14">
        <f t="shared" si="17"/>
        <v>3165</v>
      </c>
      <c r="I86" s="44" t="s">
        <v>292</v>
      </c>
      <c r="J86" s="45" t="s">
        <v>293</v>
      </c>
      <c r="K86" s="44">
        <v>3165</v>
      </c>
      <c r="L86" s="44" t="s">
        <v>294</v>
      </c>
      <c r="M86" s="45" t="s">
        <v>295</v>
      </c>
      <c r="N86" s="45" t="s">
        <v>296</v>
      </c>
      <c r="O86" s="46" t="s">
        <v>297</v>
      </c>
      <c r="P86" s="47" t="s">
        <v>298</v>
      </c>
    </row>
    <row r="87" spans="1:16">
      <c r="B87" s="6"/>
      <c r="F87" s="6"/>
    </row>
    <row r="88" spans="1:16">
      <c r="B88" s="6"/>
      <c r="F88" s="6"/>
    </row>
    <row r="89" spans="1:16">
      <c r="B89" s="6"/>
      <c r="F89" s="6"/>
    </row>
    <row r="90" spans="1:16">
      <c r="B90" s="6"/>
      <c r="F90" s="6"/>
    </row>
    <row r="91" spans="1:16">
      <c r="B91" s="6"/>
      <c r="F91" s="6"/>
    </row>
    <row r="92" spans="1:16">
      <c r="B92" s="6"/>
      <c r="F92" s="6"/>
    </row>
    <row r="93" spans="1:16">
      <c r="B93" s="6"/>
      <c r="F93" s="6"/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</sheetData>
  <phoneticPr fontId="8" type="noConversion"/>
  <hyperlinks>
    <hyperlink ref="P50" r:id="rId1" display="http://www.konkoly.hu/cgi-bin/IBVS?3309" xr:uid="{00000000-0004-0000-0100-000000000000}"/>
    <hyperlink ref="P51" r:id="rId2" display="http://www.konkoly.hu/cgi-bin/IBVS?3309" xr:uid="{00000000-0004-0000-0100-000001000000}"/>
    <hyperlink ref="P52" r:id="rId3" display="http://www.konkoly.hu/cgi-bin/IBVS?3309" xr:uid="{00000000-0004-0000-0100-000002000000}"/>
    <hyperlink ref="P54" r:id="rId4" display="http://www.konkoly.hu/cgi-bin/IBVS?3309" xr:uid="{00000000-0004-0000-0100-000003000000}"/>
    <hyperlink ref="P60" r:id="rId5" display="http://www.konkoly.hu/cgi-bin/IBVS?3309" xr:uid="{00000000-0004-0000-0100-000004000000}"/>
    <hyperlink ref="P68" r:id="rId6" display="http://www.konkoly.hu/cgi-bin/IBVS?3309" xr:uid="{00000000-0004-0000-0100-000005000000}"/>
    <hyperlink ref="P69" r:id="rId7" display="http://www.konkoly.hu/cgi-bin/IBVS?3309" xr:uid="{00000000-0004-0000-0100-000006000000}"/>
    <hyperlink ref="P70" r:id="rId8" display="http://www.konkoly.hu/cgi-bin/IBVS?3309" xr:uid="{00000000-0004-0000-0100-000007000000}"/>
    <hyperlink ref="P72" r:id="rId9" display="http://www.konkoly.hu/cgi-bin/IBVS?3309" xr:uid="{00000000-0004-0000-0100-000008000000}"/>
    <hyperlink ref="P73" r:id="rId10" display="http://www.konkoly.hu/cgi-bin/IBVS?3309" xr:uid="{00000000-0004-0000-0100-000009000000}"/>
    <hyperlink ref="P75" r:id="rId11" display="http://www.konkoly.hu/cgi-bin/IBVS?3309" xr:uid="{00000000-0004-0000-0100-00000A000000}"/>
    <hyperlink ref="P86" r:id="rId12" display="http://www.bav-astro.de/sfs/BAVM_link.php?BAVMnr=193" xr:uid="{00000000-0004-0000-0100-00000B000000}"/>
    <hyperlink ref="P14" r:id="rId13" display="http://www.bav-astro.de/sfs/BAVM_link.php?BAVMnr=234" xr:uid="{00000000-0004-0000-0100-00000C000000}"/>
    <hyperlink ref="P15" r:id="rId14" display="http://www.bav-astro.de/sfs/BAVM_link.php?BAVMnr=234" xr:uid="{00000000-0004-0000-0100-00000D000000}"/>
    <hyperlink ref="P16" r:id="rId15" display="http://www.bav-astro.de/sfs/BAVM_link.php?BAVMnr=231" xr:uid="{00000000-0004-0000-0100-00000E000000}"/>
    <hyperlink ref="P17" r:id="rId16" display="http://www.bav-astro.de/sfs/BAVM_link.php?BAVMnr=234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2024-01-31T03:03:45Z</dcterms:modified>
</cp:coreProperties>
</file>