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03668A9-9823-48AE-AFC1-CC0BC4B3B1E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7" i="1"/>
  <c r="G15" i="2"/>
  <c r="C15" i="2"/>
  <c r="G28" i="2"/>
  <c r="C28" i="2"/>
  <c r="G14" i="2"/>
  <c r="C14" i="2"/>
  <c r="G13" i="2"/>
  <c r="C13" i="2"/>
  <c r="G12" i="2"/>
  <c r="C12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1" i="2"/>
  <c r="C11" i="2"/>
  <c r="G17" i="2"/>
  <c r="C17" i="2"/>
  <c r="G16" i="2"/>
  <c r="C16" i="2"/>
  <c r="E16" i="2"/>
  <c r="H15" i="2"/>
  <c r="B15" i="2"/>
  <c r="D15" i="2"/>
  <c r="A15" i="2"/>
  <c r="H28" i="2"/>
  <c r="D28" i="2"/>
  <c r="B28" i="2"/>
  <c r="A28" i="2"/>
  <c r="H14" i="2"/>
  <c r="B14" i="2"/>
  <c r="D14" i="2"/>
  <c r="A14" i="2"/>
  <c r="H13" i="2"/>
  <c r="D13" i="2"/>
  <c r="B13" i="2"/>
  <c r="A13" i="2"/>
  <c r="H12" i="2"/>
  <c r="B12" i="2"/>
  <c r="D12" i="2"/>
  <c r="A12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1" i="2"/>
  <c r="D11" i="2"/>
  <c r="B11" i="2"/>
  <c r="A11" i="2"/>
  <c r="H17" i="2"/>
  <c r="B17" i="2"/>
  <c r="D17" i="2"/>
  <c r="A17" i="2"/>
  <c r="H16" i="2"/>
  <c r="D16" i="2"/>
  <c r="B16" i="2"/>
  <c r="A16" i="2"/>
  <c r="Q38" i="1"/>
  <c r="F16" i="1"/>
  <c r="C17" i="1"/>
  <c r="Q36" i="1"/>
  <c r="Q34" i="1"/>
  <c r="Q35" i="1"/>
  <c r="C7" i="1"/>
  <c r="E21" i="1"/>
  <c r="F21" i="1"/>
  <c r="C8" i="1"/>
  <c r="Q23" i="1"/>
  <c r="E27" i="2"/>
  <c r="E12" i="2"/>
  <c r="E13" i="2"/>
  <c r="E23" i="2"/>
  <c r="E14" i="2"/>
  <c r="E28" i="2"/>
  <c r="E32" i="1"/>
  <c r="F32" i="1"/>
  <c r="E24" i="1"/>
  <c r="E23" i="1"/>
  <c r="G31" i="1"/>
  <c r="H31" i="1"/>
  <c r="E29" i="1"/>
  <c r="F29" i="1"/>
  <c r="E35" i="1"/>
  <c r="F35" i="1"/>
  <c r="G35" i="1"/>
  <c r="I35" i="1"/>
  <c r="E37" i="1"/>
  <c r="F37" i="1"/>
  <c r="G37" i="1"/>
  <c r="I37" i="1"/>
  <c r="E26" i="1"/>
  <c r="F26" i="1"/>
  <c r="G26" i="1"/>
  <c r="H26" i="1"/>
  <c r="G34" i="1"/>
  <c r="I34" i="1"/>
  <c r="E31" i="1"/>
  <c r="F31" i="1"/>
  <c r="E22" i="1"/>
  <c r="F22" i="1"/>
  <c r="G22" i="1"/>
  <c r="H22" i="1"/>
  <c r="E38" i="1"/>
  <c r="F38" i="1"/>
  <c r="G38" i="1"/>
  <c r="J38" i="1"/>
  <c r="E28" i="1"/>
  <c r="F28" i="1"/>
  <c r="G28" i="1"/>
  <c r="H28" i="1"/>
  <c r="E34" i="1"/>
  <c r="F34" i="1"/>
  <c r="E33" i="1"/>
  <c r="F33" i="1"/>
  <c r="G33" i="1"/>
  <c r="H33" i="1"/>
  <c r="E25" i="1"/>
  <c r="F25" i="1"/>
  <c r="G25" i="1"/>
  <c r="H25" i="1"/>
  <c r="G21" i="1"/>
  <c r="H21" i="1"/>
  <c r="G32" i="1"/>
  <c r="H32" i="1"/>
  <c r="E30" i="1"/>
  <c r="F30" i="1"/>
  <c r="G30" i="1"/>
  <c r="H30" i="1"/>
  <c r="E36" i="1"/>
  <c r="F36" i="1"/>
  <c r="G36" i="1"/>
  <c r="G29" i="1"/>
  <c r="H29" i="1"/>
  <c r="E27" i="1"/>
  <c r="F27" i="1"/>
  <c r="G27" i="1"/>
  <c r="H27" i="1"/>
  <c r="K36" i="1"/>
  <c r="F23" i="1"/>
  <c r="E11" i="2"/>
  <c r="E21" i="2"/>
  <c r="E26" i="2"/>
  <c r="E20" i="2"/>
  <c r="E25" i="2"/>
  <c r="E19" i="2"/>
  <c r="F24" i="1"/>
  <c r="G24" i="1"/>
  <c r="H24" i="1"/>
  <c r="E18" i="2"/>
  <c r="E22" i="2"/>
  <c r="E15" i="2"/>
  <c r="E17" i="2"/>
  <c r="E24" i="2"/>
  <c r="C12" i="1"/>
  <c r="C11" i="1"/>
  <c r="O32" i="1" l="1"/>
  <c r="O28" i="1"/>
  <c r="O29" i="1"/>
  <c r="O24" i="1"/>
  <c r="O27" i="1"/>
  <c r="O22" i="1"/>
  <c r="O35" i="1"/>
  <c r="O31" i="1"/>
  <c r="O30" i="1"/>
  <c r="O23" i="1"/>
  <c r="O38" i="1"/>
  <c r="O36" i="1"/>
  <c r="O26" i="1"/>
  <c r="O34" i="1"/>
  <c r="O33" i="1"/>
  <c r="O21" i="1"/>
  <c r="O37" i="1"/>
  <c r="C15" i="1"/>
  <c r="F18" i="1" s="1"/>
  <c r="O25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<sst xmlns="http://schemas.openxmlformats.org/spreadsheetml/2006/main" count="233" uniqueCount="130">
  <si>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</si>
  <si>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</si>
  <si>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</si>
  <si>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</si>
  <si>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</si>
  <si>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</si>
  <si>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</si>
  <si>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</si>
  <si>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</si>
  <si>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</si>
  <si>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</si>
  <si>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</si>
  <si>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</si>
  <si>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</si>
  <si>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</si>
  <si>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</si>
  <si>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</si>
  <si>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</si>
  <si>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</si>
  <si>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</si>
  <si>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</si>
  <si>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</si>
  <si>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</si>
  <si>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</si>
  <si>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</si>
  <si>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</si>
  <si>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</si>
  <si>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</si>
  <si>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</si>
  <si>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Bull.81</t>
  </si>
  <si>
    <t>B</t>
  </si>
  <si>
    <t>BBSAG Bull.95</t>
  </si>
  <si>
    <t>IBVS 4887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</si>
  <si>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</si>
  <si>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</si>
  <si>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</si>
  <si>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</si>
  <si>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</si>
  <si>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</si>
  <si>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EA/SD</t>
  </si>
  <si>
    <t>Add cycle</t>
  </si>
  <si>
    <t>Old Cycle</t>
  </si>
  <si>
    <t>Start of linear fit &gt;&gt;&gt;&gt;&gt;&gt;&gt;&gt;&gt;&gt;&gt;&gt;&gt;&gt;&gt;&gt;&gt;&gt;&gt;&gt;&gt;</t>
  </si>
  <si>
    <t>IBVS 6010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</si>
  <si>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</si>
  <si>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</si>
  <si>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</si>
  <si>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</si>
  <si>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</si>
  <si>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</si>
  <si>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</si>
  <si>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</si>
  <si>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</si>
  <si>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</si>
  <si>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</si>
  <si>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</si>
  <si>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2425740.529 </t>
  </si>
  <si>
    <t> 09.05.1929 00:41 </t>
  </si>
  <si>
    <t> -0.089 </t>
  </si>
  <si>
    <t>P </t>
  </si>
  <si>
    <t> H.van Schewick </t>
  </si>
  <si>
    <t> KVBB 24.95 </t>
  </si>
  <si>
    <t>2425828.530 </t>
  </si>
  <si>
    <t> 05.08.1929 00:43 </t>
  </si>
  <si>
    <t> -0.123 </t>
  </si>
  <si>
    <t>2425862.513 </t>
  </si>
  <si>
    <t> 08.09.1929 00:18 </t>
  </si>
  <si>
    <t> 0.000 </t>
  </si>
  <si>
    <t>2426133.517 </t>
  </si>
  <si>
    <t> 06.06.1930 00:24 </t>
  </si>
  <si>
    <t> 0.127 </t>
  </si>
  <si>
    <t>2427284.528 </t>
  </si>
  <si>
    <t> 31.07.1933 00:40 </t>
  </si>
  <si>
    <t>2434591.416 </t>
  </si>
  <si>
    <t> 01.08.1953 21:59 </t>
  </si>
  <si>
    <t> -0.106 </t>
  </si>
  <si>
    <t> G.Romano </t>
  </si>
  <si>
    <t> MSAI 40.389 </t>
  </si>
  <si>
    <t>2437469.490 </t>
  </si>
  <si>
    <t> 18.06.1961 23:45 </t>
  </si>
  <si>
    <t> -0.099 </t>
  </si>
  <si>
    <t>2437530.480 </t>
  </si>
  <si>
    <t> 18.08.1961 23:31 </t>
  </si>
  <si>
    <t> -0.056 </t>
  </si>
  <si>
    <t>2437571.328 </t>
  </si>
  <si>
    <t> 28.09.1961 19:52 </t>
  </si>
  <si>
    <t> 0.160 </t>
  </si>
  <si>
    <t>2437855.543 </t>
  </si>
  <si>
    <t> 10.07.1962 01:01 </t>
  </si>
  <si>
    <t> -0.046 </t>
  </si>
  <si>
    <t>2439765.354 </t>
  </si>
  <si>
    <t> 01.10.1967 20:29 </t>
  </si>
  <si>
    <t> 0.083 </t>
  </si>
  <si>
    <t>2440056.467 </t>
  </si>
  <si>
    <t> 18.07.1968 23:12 </t>
  </si>
  <si>
    <t> 0.003 </t>
  </si>
  <si>
    <t>2440117.471 </t>
  </si>
  <si>
    <t> 17.09.1968 23:18 </t>
  </si>
  <si>
    <t> 0.060 </t>
  </si>
  <si>
    <t>2446645.532 </t>
  </si>
  <si>
    <t> 03.08.1986 00:46 </t>
  </si>
  <si>
    <t> -0.013 </t>
  </si>
  <si>
    <t>V </t>
  </si>
  <si>
    <t> K.Locher </t>
  </si>
  <si>
    <t> BBS 81 </t>
  </si>
  <si>
    <t>2448013.566 </t>
  </si>
  <si>
    <t> 02.05.1990 01:35 </t>
  </si>
  <si>
    <t> 0.093 </t>
  </si>
  <si>
    <t> BBS 95 </t>
  </si>
  <si>
    <t>2450688.5497 </t>
  </si>
  <si>
    <t> 28.08.1997 01:11 </t>
  </si>
  <si>
    <t> 0.1670 </t>
  </si>
  <si>
    <t>E </t>
  </si>
  <si>
    <t>?</t>
  </si>
  <si>
    <t> J.Safar&amp;M.Zejda </t>
  </si>
  <si>
    <t>IBVS 4887 </t>
  </si>
  <si>
    <t>2454995.5385 </t>
  </si>
  <si>
    <t> 13.06.2009 00:55 </t>
  </si>
  <si>
    <t> 0.2128 </t>
  </si>
  <si>
    <t>C </t>
  </si>
  <si>
    <t>o</t>
  </si>
  <si>
    <t> U.Schmidt </t>
  </si>
  <si>
    <t>BAVM 212 </t>
  </si>
  <si>
    <t>2455740.4562 </t>
  </si>
  <si>
    <t> 27.06.2011 22:56 </t>
  </si>
  <si>
    <t> 0.2189 </t>
  </si>
  <si>
    <t>-I</t>
  </si>
  <si>
    <t> F.Agerer </t>
  </si>
  <si>
    <t>BAVM 220 </t>
  </si>
  <si>
    <t>V0435 Cyg / GSC 03151-02195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</si>
</sst>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5" xfId="0" applyFont="1" applyBorder="1" applyAlignment="1">
      <alignment horizontal="left" vertic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5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V0435 Cyg - O-C Diagr.</a:t>
            </a:r>
          </a:p>
        </c:rich>
      </c:tx>
      <c:layout>
        <c:manualLayout>
          <c:xMode val="edge"/>
          <c:yMode val="edge"/>
          <c:x val="0.3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8235294117648"/>
          <c:y val="0.14769252958613219"/>
          <c:w val="0.829411764705882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</c:v>
                </c:pt>
                <c:pt idx="1">
                  <c:v>-5</c:v>
                </c:pt>
                <c:pt idx="2">
                  <c:v>0</c:v>
                </c:pt>
                <c:pt idx="3">
                  <c:v>40</c:v>
                </c:pt>
                <c:pt idx="4">
                  <c:v>210</c:v>
                </c:pt>
                <c:pt idx="5">
                  <c:v>1289</c:v>
                </c:pt>
                <c:pt idx="6">
                  <c:v>1714</c:v>
                </c:pt>
                <c:pt idx="7">
                  <c:v>1723</c:v>
                </c:pt>
                <c:pt idx="8">
                  <c:v>1729</c:v>
                </c:pt>
                <c:pt idx="9">
                  <c:v>1771</c:v>
                </c:pt>
                <c:pt idx="10">
                  <c:v>2053</c:v>
                </c:pt>
                <c:pt idx="11">
                  <c:v>2096</c:v>
                </c:pt>
                <c:pt idx="12">
                  <c:v>2105</c:v>
                </c:pt>
                <c:pt idx="13">
                  <c:v>3069</c:v>
                </c:pt>
                <c:pt idx="14">
                  <c:v>3271</c:v>
                </c:pt>
                <c:pt idx="15">
                  <c:v>3666</c:v>
                </c:pt>
                <c:pt idx="16">
                  <c:v>4302</c:v>
                </c:pt>
                <c:pt idx="17">
                  <c:v>4412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-8.9385999999649357E-2</c:v>
                </c:pt>
                <c:pt idx="1">
                  <c:v>-0.12338499999896158</c:v>
                </c:pt>
                <c:pt idx="2">
                  <c:v>0</c:v>
                </c:pt>
                <c:pt idx="3">
                  <c:v>0.12708000000202446</c:v>
                </c:pt>
                <c:pt idx="4">
                  <c:v>-8.8830000000598375E-2</c:v>
                </c:pt>
                <c:pt idx="5">
                  <c:v>-0.10574700000142911</c:v>
                </c:pt>
                <c:pt idx="6">
                  <c:v>-9.9022000002150889E-2</c:v>
                </c:pt>
                <c:pt idx="7">
                  <c:v>-5.6328999991819728E-2</c:v>
                </c:pt>
                <c:pt idx="8">
                  <c:v>0.16013300000486197</c:v>
                </c:pt>
                <c:pt idx="9">
                  <c:v>-4.5633000001544133E-2</c:v>
                </c:pt>
                <c:pt idx="10">
                  <c:v>8.3080999997036997E-2</c:v>
                </c:pt>
                <c:pt idx="11">
                  <c:v>3.3919999987119809E-3</c:v>
                </c:pt>
                <c:pt idx="12">
                  <c:v>6.0084999997343402E-2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AE-4C30-A205-50A6B903D9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4.7000000000000002E-3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</c:v>
                </c:pt>
                <c:pt idx="1">
                  <c:v>-5</c:v>
                </c:pt>
                <c:pt idx="2">
                  <c:v>0</c:v>
                </c:pt>
                <c:pt idx="3">
                  <c:v>40</c:v>
                </c:pt>
                <c:pt idx="4">
                  <c:v>210</c:v>
                </c:pt>
                <c:pt idx="5">
                  <c:v>1289</c:v>
                </c:pt>
                <c:pt idx="6">
                  <c:v>1714</c:v>
                </c:pt>
                <c:pt idx="7">
                  <c:v>1723</c:v>
                </c:pt>
                <c:pt idx="8">
                  <c:v>1729</c:v>
                </c:pt>
                <c:pt idx="9">
                  <c:v>1771</c:v>
                </c:pt>
                <c:pt idx="10">
                  <c:v>2053</c:v>
                </c:pt>
                <c:pt idx="11">
                  <c:v>2096</c:v>
                </c:pt>
                <c:pt idx="12">
                  <c:v>2105</c:v>
                </c:pt>
                <c:pt idx="13">
                  <c:v>3069</c:v>
                </c:pt>
                <c:pt idx="14">
                  <c:v>3271</c:v>
                </c:pt>
                <c:pt idx="15">
                  <c:v>3666</c:v>
                </c:pt>
                <c:pt idx="16">
                  <c:v>4302</c:v>
                </c:pt>
                <c:pt idx="17">
                  <c:v>4412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3">
                  <c:v>-1.2687000002188142E-2</c:v>
                </c:pt>
                <c:pt idx="14">
                  <c:v>9.286699999938719E-2</c:v>
                </c:pt>
                <c:pt idx="16">
                  <c:v>0.21275400000013178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AE-4C30-A205-50A6B903D9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4.7000000000000002E-3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</c:v>
                </c:pt>
                <c:pt idx="1">
                  <c:v>-5</c:v>
                </c:pt>
                <c:pt idx="2">
                  <c:v>0</c:v>
                </c:pt>
                <c:pt idx="3">
                  <c:v>40</c:v>
                </c:pt>
                <c:pt idx="4">
                  <c:v>210</c:v>
                </c:pt>
                <c:pt idx="5">
                  <c:v>1289</c:v>
                </c:pt>
                <c:pt idx="6">
                  <c:v>1714</c:v>
                </c:pt>
                <c:pt idx="7">
                  <c:v>1723</c:v>
                </c:pt>
                <c:pt idx="8">
                  <c:v>1729</c:v>
                </c:pt>
                <c:pt idx="9">
                  <c:v>1771</c:v>
                </c:pt>
                <c:pt idx="10">
                  <c:v>2053</c:v>
                </c:pt>
                <c:pt idx="11">
                  <c:v>2096</c:v>
                </c:pt>
                <c:pt idx="12">
                  <c:v>2105</c:v>
                </c:pt>
                <c:pt idx="13">
                  <c:v>3069</c:v>
                </c:pt>
                <c:pt idx="14">
                  <c:v>3271</c:v>
                </c:pt>
                <c:pt idx="15">
                  <c:v>3666</c:v>
                </c:pt>
                <c:pt idx="16">
                  <c:v>4302</c:v>
                </c:pt>
                <c:pt idx="17">
                  <c:v>4412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7">
                  <c:v>0.21892400000069756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AE-4C30-A205-50A6B903D9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4.7000000000000002E-3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</c:v>
                </c:pt>
                <c:pt idx="1">
                  <c:v>-5</c:v>
                </c:pt>
                <c:pt idx="2">
                  <c:v>0</c:v>
                </c:pt>
                <c:pt idx="3">
                  <c:v>40</c:v>
                </c:pt>
                <c:pt idx="4">
                  <c:v>210</c:v>
                </c:pt>
                <c:pt idx="5">
                  <c:v>1289</c:v>
                </c:pt>
                <c:pt idx="6">
                  <c:v>1714</c:v>
                </c:pt>
                <c:pt idx="7">
                  <c:v>1723</c:v>
                </c:pt>
                <c:pt idx="8">
                  <c:v>1729</c:v>
                </c:pt>
                <c:pt idx="9">
                  <c:v>1771</c:v>
                </c:pt>
                <c:pt idx="10">
                  <c:v>2053</c:v>
                </c:pt>
                <c:pt idx="11">
                  <c:v>2096</c:v>
                </c:pt>
                <c:pt idx="12">
                  <c:v>2105</c:v>
                </c:pt>
                <c:pt idx="13">
                  <c:v>3069</c:v>
                </c:pt>
                <c:pt idx="14">
                  <c:v>3271</c:v>
                </c:pt>
                <c:pt idx="15">
                  <c:v>3666</c:v>
                </c:pt>
                <c:pt idx="16">
                  <c:v>4302</c:v>
                </c:pt>
                <c:pt idx="17">
                  <c:v>4412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5">
                  <c:v>0.16698200000246288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AE-4C30-A205-50A6B903D9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4.7000000000000002E-3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</c:v>
                </c:pt>
                <c:pt idx="1">
                  <c:v>-5</c:v>
                </c:pt>
                <c:pt idx="2">
                  <c:v>0</c:v>
                </c:pt>
                <c:pt idx="3">
                  <c:v>40</c:v>
                </c:pt>
                <c:pt idx="4">
                  <c:v>210</c:v>
                </c:pt>
                <c:pt idx="5">
                  <c:v>1289</c:v>
                </c:pt>
                <c:pt idx="6">
                  <c:v>1714</c:v>
                </c:pt>
                <c:pt idx="7">
                  <c:v>1723</c:v>
                </c:pt>
                <c:pt idx="8">
                  <c:v>1729</c:v>
                </c:pt>
                <c:pt idx="9">
                  <c:v>1771</c:v>
                </c:pt>
                <c:pt idx="10">
                  <c:v>2053</c:v>
                </c:pt>
                <c:pt idx="11">
                  <c:v>2096</c:v>
                </c:pt>
                <c:pt idx="12">
                  <c:v>2105</c:v>
                </c:pt>
                <c:pt idx="13">
                  <c:v>3069</c:v>
                </c:pt>
                <c:pt idx="14">
                  <c:v>3271</c:v>
                </c:pt>
                <c:pt idx="15">
                  <c:v>3666</c:v>
                </c:pt>
                <c:pt idx="16">
                  <c:v>4302</c:v>
                </c:pt>
                <c:pt idx="17">
                  <c:v>4412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AE-4C30-A205-50A6B903D9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4.7000000000000002E-3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</c:v>
                </c:pt>
                <c:pt idx="1">
                  <c:v>-5</c:v>
                </c:pt>
                <c:pt idx="2">
                  <c:v>0</c:v>
                </c:pt>
                <c:pt idx="3">
                  <c:v>40</c:v>
                </c:pt>
                <c:pt idx="4">
                  <c:v>210</c:v>
                </c:pt>
                <c:pt idx="5">
                  <c:v>1289</c:v>
                </c:pt>
                <c:pt idx="6">
                  <c:v>1714</c:v>
                </c:pt>
                <c:pt idx="7">
                  <c:v>1723</c:v>
                </c:pt>
                <c:pt idx="8">
                  <c:v>1729</c:v>
                </c:pt>
                <c:pt idx="9">
                  <c:v>1771</c:v>
                </c:pt>
                <c:pt idx="10">
                  <c:v>2053</c:v>
                </c:pt>
                <c:pt idx="11">
                  <c:v>2096</c:v>
                </c:pt>
                <c:pt idx="12">
                  <c:v>2105</c:v>
                </c:pt>
                <c:pt idx="13">
                  <c:v>3069</c:v>
                </c:pt>
                <c:pt idx="14">
                  <c:v>3271</c:v>
                </c:pt>
                <c:pt idx="15">
                  <c:v>3666</c:v>
                </c:pt>
                <c:pt idx="16">
                  <c:v>4302</c:v>
                </c:pt>
                <c:pt idx="17">
                  <c:v>4412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AE-4C30-A205-50A6B903D9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4.7000000000000002E-3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4.1999999999999997E-3</c:v>
                  </c:pt>
                  <c:pt idx="16">
                    <c:v>0</c:v>
                  </c:pt>
                  <c:pt idx="17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-18</c:v>
                </c:pt>
                <c:pt idx="1">
                  <c:v>-5</c:v>
                </c:pt>
                <c:pt idx="2">
                  <c:v>0</c:v>
                </c:pt>
                <c:pt idx="3">
                  <c:v>40</c:v>
                </c:pt>
                <c:pt idx="4">
                  <c:v>210</c:v>
                </c:pt>
                <c:pt idx="5">
                  <c:v>1289</c:v>
                </c:pt>
                <c:pt idx="6">
                  <c:v>1714</c:v>
                </c:pt>
                <c:pt idx="7">
                  <c:v>1723</c:v>
                </c:pt>
                <c:pt idx="8">
                  <c:v>1729</c:v>
                </c:pt>
                <c:pt idx="9">
                  <c:v>1771</c:v>
                </c:pt>
                <c:pt idx="10">
                  <c:v>2053</c:v>
                </c:pt>
                <c:pt idx="11">
                  <c:v>2096</c:v>
                </c:pt>
                <c:pt idx="12">
                  <c:v>2105</c:v>
                </c:pt>
                <c:pt idx="13">
                  <c:v>3069</c:v>
                </c:pt>
                <c:pt idx="14">
                  <c:v>3271</c:v>
                </c:pt>
                <c:pt idx="15">
                  <c:v>3666</c:v>
                </c:pt>
                <c:pt idx="16">
                  <c:v>4302</c:v>
                </c:pt>
                <c:pt idx="17">
                  <c:v>4412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AE-4C30-A205-50A6B903D9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-18</c:v>
                </c:pt>
                <c:pt idx="1">
                  <c:v>-5</c:v>
                </c:pt>
                <c:pt idx="2">
                  <c:v>0</c:v>
                </c:pt>
                <c:pt idx="3">
                  <c:v>40</c:v>
                </c:pt>
                <c:pt idx="4">
                  <c:v>210</c:v>
                </c:pt>
                <c:pt idx="5">
                  <c:v>1289</c:v>
                </c:pt>
                <c:pt idx="6">
                  <c:v>1714</c:v>
                </c:pt>
                <c:pt idx="7">
                  <c:v>1723</c:v>
                </c:pt>
                <c:pt idx="8">
                  <c:v>1729</c:v>
                </c:pt>
                <c:pt idx="9">
                  <c:v>1771</c:v>
                </c:pt>
                <c:pt idx="10">
                  <c:v>2053</c:v>
                </c:pt>
                <c:pt idx="11">
                  <c:v>2096</c:v>
                </c:pt>
                <c:pt idx="12">
                  <c:v>2105</c:v>
                </c:pt>
                <c:pt idx="13">
                  <c:v>3069</c:v>
                </c:pt>
                <c:pt idx="14">
                  <c:v>3271</c:v>
                </c:pt>
                <c:pt idx="15">
                  <c:v>3666</c:v>
                </c:pt>
                <c:pt idx="16">
                  <c:v>4302</c:v>
                </c:pt>
                <c:pt idx="17">
                  <c:v>4412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-9.236467952259049E-2</c:v>
                </c:pt>
                <c:pt idx="1">
                  <c:v>-9.1449060855916545E-2</c:v>
                </c:pt>
                <c:pt idx="2">
                  <c:v>-9.1096899830272721E-2</c:v>
                </c:pt>
                <c:pt idx="3">
                  <c:v>-8.8279611625122129E-2</c:v>
                </c:pt>
                <c:pt idx="4">
                  <c:v>-7.6306136753232071E-2</c:v>
                </c:pt>
                <c:pt idx="5">
                  <c:v>-3.0978741929467424E-4</c:v>
                </c:pt>
                <c:pt idx="6">
                  <c:v>2.9623899760430436E-2</c:v>
                </c:pt>
                <c:pt idx="7">
                  <c:v>3.0257789606589328E-2</c:v>
                </c:pt>
                <c:pt idx="8">
                  <c:v>3.0680382837361922E-2</c:v>
                </c:pt>
                <c:pt idx="9">
                  <c:v>3.3638535452770041E-2</c:v>
                </c:pt>
                <c:pt idx="10">
                  <c:v>5.3500417299081782E-2</c:v>
                </c:pt>
                <c:pt idx="11">
                  <c:v>5.6529002119618671E-2</c:v>
                </c:pt>
                <c:pt idx="12">
                  <c:v>5.7162891965777535E-2</c:v>
                </c:pt>
                <c:pt idx="13">
                  <c:v>0.12505953770990699</c:v>
                </c:pt>
                <c:pt idx="14">
                  <c:v>0.13928684314591749</c:v>
                </c:pt>
                <c:pt idx="15">
                  <c:v>0.16710756417177966</c:v>
                </c:pt>
                <c:pt idx="16">
                  <c:v>0.21190244663367422</c:v>
                </c:pt>
                <c:pt idx="17">
                  <c:v>0.21964998919783832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AE-4C30-A205-50A6B903D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401136"/>
        <c:axId val="1"/>
      </c:scatterChart>
      <c:valAx>
        <c:axId val="882401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9411764705882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2941176470588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40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58823529411763"/>
          <c:y val="0.92000129214617399"/>
          <c:w val="0.6147058823529412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304800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52E2FC-D8B2-9BBC-CCBF-46DF55938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konkoly.hu/cgi-bin/IBVS?4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36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129</v>
      </c>
    </row>
    <row r="2" spans="1:6" x14ac:dyDescent="0.2">
      <c r="A2" t="s">
        <v>24</v>
      </c>
      <c r="B2" s="25" t="s">
        <v>39</v>
      </c>
    </row>
    <row r="4" spans="1:6" ht="14.25" thickTop="1" thickBot="1" x14ac:dyDescent="0.25">
      <c r="A4" s="6" t="s">
        <v>0</v>
      </c>
      <c r="C4" s="3">
        <v>25862.512999999999</v>
      </c>
      <c r="D4" s="4">
        <v>6.7719230000000001</v>
      </c>
    </row>
    <row r="5" spans="1:6" ht="13.5" thickTop="1" x14ac:dyDescent="0.2">
      <c r="A5" s="12" t="s">
        <v>34</v>
      </c>
      <c r="B5" s="13"/>
      <c r="C5" s="14">
        <v>-9.5</v>
      </c>
      <c r="D5" s="13" t="s">
        <v>35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25862.512999999999</v>
      </c>
    </row>
    <row r="8" spans="1:6" x14ac:dyDescent="0.2">
      <c r="A8" t="s">
        <v>3</v>
      </c>
      <c r="C8">
        <f>+D4</f>
        <v>6.7719230000000001</v>
      </c>
    </row>
    <row r="9" spans="1:6" x14ac:dyDescent="0.2">
      <c r="A9" s="28" t="s">
        <v>42</v>
      </c>
      <c r="B9" s="29">
        <v>36</v>
      </c>
      <c r="C9" s="27" t="str">
        <f>"F"&amp;B9</f>
        <v>F36</v>
      </c>
      <c r="D9" s="9" t="str">
        <f>"G"&amp;B9</f>
        <v>G36</v>
      </c>
    </row>
    <row r="10" spans="1:6" ht="13.5" thickBot="1" x14ac:dyDescent="0.25">
      <c r="A10" s="13"/>
      <c r="B10" s="13"/>
      <c r="C10" s="5" t="s">
        <v>20</v>
      </c>
      <c r="D10" s="5" t="s">
        <v>21</v>
      </c>
      <c r="E10" s="13"/>
    </row>
    <row r="11" spans="1:6" x14ac:dyDescent="0.2">
      <c r="A11" s="13" t="s">
        <v>16</v>
      </c>
      <c r="B11" s="13"/>
      <c r="C11" s="26">
        <f ca="1">INTERCEPT(INDIRECT($D$9):G992,INDIRECT($C$9):F992)</f>
        <v>-9.1096899830272721E-2</v>
      </c>
      <c r="D11" s="15"/>
      <c r="E11" s="13"/>
    </row>
    <row r="12" spans="1:6" x14ac:dyDescent="0.2">
      <c r="A12" s="13" t="s">
        <v>17</v>
      </c>
      <c r="B12" s="13"/>
      <c r="C12" s="26">
        <f ca="1">SLOPE(INDIRECT($D$9):G992,INDIRECT($C$9):F992)</f>
        <v>7.0432205128764973E-5</v>
      </c>
      <c r="D12" s="15"/>
      <c r="E12" s="13"/>
    </row>
    <row r="13" spans="1:6" x14ac:dyDescent="0.2">
      <c r="A13" s="13" t="s">
        <v>19</v>
      </c>
      <c r="B13" s="13"/>
      <c r="C13" s="15" t="s">
        <v>14</v>
      </c>
    </row>
    <row r="14" spans="1:6" x14ac:dyDescent="0.2">
      <c r="A14" s="13"/>
      <c r="B14" s="13"/>
      <c r="C14" s="13"/>
    </row>
    <row r="15" spans="1:6" x14ac:dyDescent="0.2">
      <c r="A15" s="16" t="s">
        <v>18</v>
      </c>
      <c r="B15" s="13"/>
      <c r="C15" s="17">
        <f ca="1">(C7+C11)+(C8+C12)*INT(MAX(F21:F3533))</f>
        <v>55740.456925989201</v>
      </c>
      <c r="E15" s="18" t="s">
        <v>40</v>
      </c>
      <c r="F15" s="14">
        <v>1</v>
      </c>
    </row>
    <row r="16" spans="1:6" x14ac:dyDescent="0.2">
      <c r="A16" s="20" t="s">
        <v>4</v>
      </c>
      <c r="B16" s="13"/>
      <c r="C16" s="21">
        <f ca="1">+C8+C12</f>
        <v>6.7719934322051287</v>
      </c>
      <c r="E16" s="18" t="s">
        <v>36</v>
      </c>
      <c r="F16" s="19">
        <f ca="1">NOW()+15018.5+$C$5/24</f>
        <v>60340.670943171295</v>
      </c>
    </row>
    <row r="17" spans="1:17" ht="13.5" thickBot="1" x14ac:dyDescent="0.25">
      <c r="A17" s="18" t="s">
        <v>33</v>
      </c>
      <c r="B17" s="13"/>
      <c r="C17" s="13">
        <f>COUNT(C21:C2191)</f>
        <v>18</v>
      </c>
      <c r="E17" s="18" t="s">
        <v>41</v>
      </c>
      <c r="F17" s="19">
        <f ca="1">ROUND(2*(F16-$C$7)/$C$8,0)/2+F15</f>
        <v>5092.5</v>
      </c>
    </row>
    <row r="18" spans="1:17" ht="14.25" thickTop="1" thickBot="1" x14ac:dyDescent="0.25">
      <c r="A18" s="20" t="s">
        <v>5</v>
      </c>
      <c r="B18" s="13"/>
      <c r="C18" s="23">
        <f ca="1">+C15</f>
        <v>55740.456925989201</v>
      </c>
      <c r="D18" s="24">
        <f ca="1">+C16</f>
        <v>6.7719934322051287</v>
      </c>
      <c r="E18" s="18" t="s">
        <v>37</v>
      </c>
      <c r="F18" s="9">
        <f ca="1">ROUND(2*(F16-$C$15)/$C$16,0)/2+F15</f>
        <v>680.5</v>
      </c>
    </row>
    <row r="19" spans="1:17" ht="13.5" thickTop="1" x14ac:dyDescent="0.2">
      <c r="E19" s="18" t="s">
        <v>38</v>
      </c>
      <c r="F19" s="22">
        <f ca="1">+$C$15+$C$16*F18-15018.5-$C$5/24</f>
        <v>45330.694289938125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52</v>
      </c>
      <c r="I20" s="8" t="s">
        <v>55</v>
      </c>
      <c r="J20" s="8" t="s">
        <v>49</v>
      </c>
      <c r="K20" s="8" t="s">
        <v>47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s="45" t="s">
        <v>61</v>
      </c>
      <c r="B21" s="46" t="s">
        <v>44</v>
      </c>
      <c r="C21" s="45">
        <v>25740.528999999999</v>
      </c>
      <c r="D21" s="45" t="s">
        <v>55</v>
      </c>
      <c r="E21">
        <f t="shared" ref="E21:E38" si="0">+(C21-C$7)/C$8</f>
        <v>-18.013199500348776</v>
      </c>
      <c r="F21">
        <f t="shared" ref="F21:F38" si="1">ROUND(2*E21,0)/2</f>
        <v>-18</v>
      </c>
      <c r="G21">
        <f>+C21-(C$7+F21*C$8)</f>
        <v>-8.9385999999649357E-2</v>
      </c>
      <c r="H21">
        <f>+G21</f>
        <v>-8.9385999999649357E-2</v>
      </c>
      <c r="O21">
        <f t="shared" ref="O21:O38" ca="1" si="2">+C$11+C$12*F21</f>
        <v>-9.236467952259049E-2</v>
      </c>
      <c r="Q21" s="2">
        <f t="shared" ref="Q21:Q38" si="3">+C21-15018.5</f>
        <v>10722.028999999999</v>
      </c>
    </row>
    <row r="22" spans="1:17" x14ac:dyDescent="0.2">
      <c r="A22" s="45" t="s">
        <v>61</v>
      </c>
      <c r="B22" s="46" t="s">
        <v>44</v>
      </c>
      <c r="C22" s="45">
        <v>25828.53</v>
      </c>
      <c r="D22" s="45" t="s">
        <v>55</v>
      </c>
      <c r="E22">
        <f t="shared" si="0"/>
        <v>-5.0182200831285551</v>
      </c>
      <c r="F22">
        <f t="shared" si="1"/>
        <v>-5</v>
      </c>
      <c r="G22">
        <f>+C22-(C$7+F22*C$8)</f>
        <v>-0.12338499999896158</v>
      </c>
      <c r="H22">
        <f>+G22</f>
        <v>-0.12338499999896158</v>
      </c>
      <c r="O22">
        <f t="shared" ca="1" si="2"/>
        <v>-9.1449060855916545E-2</v>
      </c>
      <c r="Q22" s="2">
        <f t="shared" si="3"/>
        <v>10810.029999999999</v>
      </c>
    </row>
    <row r="23" spans="1:17" x14ac:dyDescent="0.2">
      <c r="A23" t="s">
        <v>12</v>
      </c>
      <c r="C23" s="11">
        <v>25862.512999999999</v>
      </c>
      <c r="D23" s="11" t="s">
        <v>14</v>
      </c>
      <c r="E23">
        <f t="shared" si="0"/>
        <v>0</v>
      </c>
      <c r="F23">
        <f t="shared" si="1"/>
        <v>0</v>
      </c>
      <c r="H23" s="9">
        <v>0</v>
      </c>
      <c r="O23">
        <f t="shared" ca="1" si="2"/>
        <v>-9.1096899830272721E-2</v>
      </c>
      <c r="Q23" s="2">
        <f t="shared" si="3"/>
        <v>10844.012999999999</v>
      </c>
    </row>
    <row r="24" spans="1:17" x14ac:dyDescent="0.2">
      <c r="A24" s="45" t="s">
        <v>61</v>
      </c>
      <c r="B24" s="46" t="s">
        <v>44</v>
      </c>
      <c r="C24" s="45">
        <v>26133.517</v>
      </c>
      <c r="D24" s="45" t="s">
        <v>55</v>
      </c>
      <c r="E24">
        <f t="shared" si="0"/>
        <v>40.018765718393553</v>
      </c>
      <c r="F24">
        <f t="shared" si="1"/>
        <v>40</v>
      </c>
      <c r="G24">
        <f t="shared" ref="G24:G38" si="4">+C24-(C$7+F24*C$8)</f>
        <v>0.12708000000202446</v>
      </c>
      <c r="H24">
        <f t="shared" ref="H24:H33" si="5">+G24</f>
        <v>0.12708000000202446</v>
      </c>
      <c r="O24">
        <f t="shared" ca="1" si="2"/>
        <v>-8.8279611625122129E-2</v>
      </c>
      <c r="Q24" s="2">
        <f t="shared" si="3"/>
        <v>11115.017</v>
      </c>
    </row>
    <row r="25" spans="1:17" x14ac:dyDescent="0.2">
      <c r="A25" s="45" t="s">
        <v>61</v>
      </c>
      <c r="B25" s="46" t="s">
        <v>44</v>
      </c>
      <c r="C25" s="45">
        <v>27284.527999999998</v>
      </c>
      <c r="D25" s="45" t="s">
        <v>55</v>
      </c>
      <c r="E25">
        <f t="shared" si="0"/>
        <v>209.98688260336087</v>
      </c>
      <c r="F25">
        <f t="shared" si="1"/>
        <v>210</v>
      </c>
      <c r="G25">
        <f t="shared" si="4"/>
        <v>-8.8830000000598375E-2</v>
      </c>
      <c r="H25">
        <f t="shared" si="5"/>
        <v>-8.8830000000598375E-2</v>
      </c>
      <c r="O25">
        <f t="shared" ca="1" si="2"/>
        <v>-7.6306136753232071E-2</v>
      </c>
      <c r="Q25" s="2">
        <f t="shared" si="3"/>
        <v>12266.027999999998</v>
      </c>
    </row>
    <row r="26" spans="1:17" x14ac:dyDescent="0.2">
      <c r="A26" s="45" t="s">
        <v>77</v>
      </c>
      <c r="B26" s="46" t="s">
        <v>44</v>
      </c>
      <c r="C26" s="45">
        <v>34591.415999999997</v>
      </c>
      <c r="D26" s="45" t="s">
        <v>55</v>
      </c>
      <c r="E26">
        <f t="shared" si="0"/>
        <v>1288.9843844946256</v>
      </c>
      <c r="F26">
        <f t="shared" si="1"/>
        <v>1289</v>
      </c>
      <c r="G26">
        <f t="shared" si="4"/>
        <v>-0.10574700000142911</v>
      </c>
      <c r="H26">
        <f t="shared" si="5"/>
        <v>-0.10574700000142911</v>
      </c>
      <c r="O26">
        <f t="shared" ca="1" si="2"/>
        <v>-3.0978741929467424E-4</v>
      </c>
      <c r="Q26" s="2">
        <f t="shared" si="3"/>
        <v>19572.915999999997</v>
      </c>
    </row>
    <row r="27" spans="1:17" x14ac:dyDescent="0.2">
      <c r="A27" s="45" t="s">
        <v>77</v>
      </c>
      <c r="B27" s="46" t="s">
        <v>44</v>
      </c>
      <c r="C27" s="45">
        <v>37469.49</v>
      </c>
      <c r="D27" s="45" t="s">
        <v>55</v>
      </c>
      <c r="E27">
        <f t="shared" si="0"/>
        <v>1713.9853775655747</v>
      </c>
      <c r="F27">
        <f t="shared" si="1"/>
        <v>1714</v>
      </c>
      <c r="G27">
        <f t="shared" si="4"/>
        <v>-9.9022000002150889E-2</v>
      </c>
      <c r="H27">
        <f t="shared" si="5"/>
        <v>-9.9022000002150889E-2</v>
      </c>
      <c r="O27">
        <f t="shared" ca="1" si="2"/>
        <v>2.9623899760430436E-2</v>
      </c>
      <c r="Q27" s="2">
        <f t="shared" si="3"/>
        <v>22450.989999999998</v>
      </c>
    </row>
    <row r="28" spans="1:17" x14ac:dyDescent="0.2">
      <c r="A28" s="45" t="s">
        <v>77</v>
      </c>
      <c r="B28" s="46" t="s">
        <v>44</v>
      </c>
      <c r="C28" s="45">
        <v>37530.480000000003</v>
      </c>
      <c r="D28" s="45" t="s">
        <v>55</v>
      </c>
      <c r="E28">
        <f t="shared" si="0"/>
        <v>1722.9916819786645</v>
      </c>
      <c r="F28">
        <f t="shared" si="1"/>
        <v>1723</v>
      </c>
      <c r="G28">
        <f t="shared" si="4"/>
        <v>-5.6328999991819728E-2</v>
      </c>
      <c r="H28">
        <f t="shared" si="5"/>
        <v>-5.6328999991819728E-2</v>
      </c>
      <c r="O28">
        <f t="shared" ca="1" si="2"/>
        <v>3.0257789606589328E-2</v>
      </c>
      <c r="Q28" s="2">
        <f t="shared" si="3"/>
        <v>22511.980000000003</v>
      </c>
    </row>
    <row r="29" spans="1:17" x14ac:dyDescent="0.2">
      <c r="A29" s="45" t="s">
        <v>77</v>
      </c>
      <c r="B29" s="46" t="s">
        <v>44</v>
      </c>
      <c r="C29" s="45">
        <v>37571.328000000001</v>
      </c>
      <c r="D29" s="45" t="s">
        <v>55</v>
      </c>
      <c r="E29">
        <f t="shared" si="0"/>
        <v>1729.0236466067322</v>
      </c>
      <c r="F29">
        <f t="shared" si="1"/>
        <v>1729</v>
      </c>
      <c r="G29">
        <f t="shared" si="4"/>
        <v>0.16013300000486197</v>
      </c>
      <c r="H29">
        <f t="shared" si="5"/>
        <v>0.16013300000486197</v>
      </c>
      <c r="O29">
        <f t="shared" ca="1" si="2"/>
        <v>3.0680382837361922E-2</v>
      </c>
      <c r="Q29" s="2">
        <f t="shared" si="3"/>
        <v>22552.828000000001</v>
      </c>
    </row>
    <row r="30" spans="1:17" x14ac:dyDescent="0.2">
      <c r="A30" s="45" t="s">
        <v>77</v>
      </c>
      <c r="B30" s="46" t="s">
        <v>44</v>
      </c>
      <c r="C30" s="45">
        <v>37855.542999999998</v>
      </c>
      <c r="D30" s="45" t="s">
        <v>55</v>
      </c>
      <c r="E30">
        <f t="shared" si="0"/>
        <v>1770.9932614413954</v>
      </c>
      <c r="F30">
        <f t="shared" si="1"/>
        <v>1771</v>
      </c>
      <c r="G30">
        <f t="shared" si="4"/>
        <v>-4.5633000001544133E-2</v>
      </c>
      <c r="H30">
        <f t="shared" si="5"/>
        <v>-4.5633000001544133E-2</v>
      </c>
      <c r="O30">
        <f t="shared" ca="1" si="2"/>
        <v>3.3638535452770041E-2</v>
      </c>
      <c r="Q30" s="2">
        <f t="shared" si="3"/>
        <v>22837.042999999998</v>
      </c>
    </row>
    <row r="31" spans="1:17" x14ac:dyDescent="0.2">
      <c r="A31" s="45" t="s">
        <v>77</v>
      </c>
      <c r="B31" s="46" t="s">
        <v>44</v>
      </c>
      <c r="C31" s="45">
        <v>39765.353999999999</v>
      </c>
      <c r="D31" s="45" t="s">
        <v>55</v>
      </c>
      <c r="E31">
        <f t="shared" si="0"/>
        <v>2053.0122684501875</v>
      </c>
      <c r="F31">
        <f t="shared" si="1"/>
        <v>2053</v>
      </c>
      <c r="G31">
        <f t="shared" si="4"/>
        <v>8.3080999997036997E-2</v>
      </c>
      <c r="H31">
        <f t="shared" si="5"/>
        <v>8.3080999997036997E-2</v>
      </c>
      <c r="O31">
        <f t="shared" ca="1" si="2"/>
        <v>5.3500417299081782E-2</v>
      </c>
      <c r="Q31" s="2">
        <f t="shared" si="3"/>
        <v>24746.853999999999</v>
      </c>
    </row>
    <row r="32" spans="1:17" x14ac:dyDescent="0.2">
      <c r="A32" s="45" t="s">
        <v>77</v>
      </c>
      <c r="B32" s="46" t="s">
        <v>44</v>
      </c>
      <c r="C32" s="45">
        <v>40056.466999999997</v>
      </c>
      <c r="D32" s="45" t="s">
        <v>55</v>
      </c>
      <c r="E32">
        <f t="shared" si="0"/>
        <v>2096.000500891696</v>
      </c>
      <c r="F32">
        <f t="shared" si="1"/>
        <v>2096</v>
      </c>
      <c r="G32">
        <f t="shared" si="4"/>
        <v>3.3919999987119809E-3</v>
      </c>
      <c r="H32">
        <f t="shared" si="5"/>
        <v>3.3919999987119809E-3</v>
      </c>
      <c r="O32">
        <f t="shared" ca="1" si="2"/>
        <v>5.6529002119618671E-2</v>
      </c>
      <c r="Q32" s="2">
        <f t="shared" si="3"/>
        <v>25037.966999999997</v>
      </c>
    </row>
    <row r="33" spans="1:30" x14ac:dyDescent="0.2">
      <c r="A33" s="45" t="s">
        <v>77</v>
      </c>
      <c r="B33" s="46" t="s">
        <v>44</v>
      </c>
      <c r="C33" s="45">
        <v>40117.470999999998</v>
      </c>
      <c r="D33" s="45" t="s">
        <v>55</v>
      </c>
      <c r="E33">
        <f t="shared" si="0"/>
        <v>2105.0088726643817</v>
      </c>
      <c r="F33">
        <f t="shared" si="1"/>
        <v>2105</v>
      </c>
      <c r="G33">
        <f t="shared" si="4"/>
        <v>6.0084999997343402E-2</v>
      </c>
      <c r="H33">
        <f t="shared" si="5"/>
        <v>6.0084999997343402E-2</v>
      </c>
      <c r="O33">
        <f t="shared" ca="1" si="2"/>
        <v>5.7162891965777535E-2</v>
      </c>
      <c r="Q33" s="2">
        <f t="shared" si="3"/>
        <v>25098.970999999998</v>
      </c>
    </row>
    <row r="34" spans="1:30" x14ac:dyDescent="0.2">
      <c r="A34" t="s">
        <v>29</v>
      </c>
      <c r="C34" s="11">
        <v>46645.531999999999</v>
      </c>
      <c r="D34" s="11"/>
      <c r="E34">
        <f t="shared" si="0"/>
        <v>3068.9981265291999</v>
      </c>
      <c r="F34">
        <f t="shared" si="1"/>
        <v>3069</v>
      </c>
      <c r="G34">
        <f t="shared" si="4"/>
        <v>-1.2687000002188142E-2</v>
      </c>
      <c r="I34">
        <f>+G34</f>
        <v>-1.2687000002188142E-2</v>
      </c>
      <c r="O34">
        <f t="shared" ca="1" si="2"/>
        <v>0.12505953770990699</v>
      </c>
      <c r="Q34" s="2">
        <f t="shared" si="3"/>
        <v>31627.031999999999</v>
      </c>
      <c r="AA34">
        <v>7</v>
      </c>
      <c r="AB34" t="s">
        <v>28</v>
      </c>
      <c r="AD34" t="s">
        <v>30</v>
      </c>
    </row>
    <row r="35" spans="1:30" x14ac:dyDescent="0.2">
      <c r="A35" t="s">
        <v>31</v>
      </c>
      <c r="C35" s="11">
        <v>48013.565999999999</v>
      </c>
      <c r="D35" s="11"/>
      <c r="E35">
        <f t="shared" si="0"/>
        <v>3271.0137135345453</v>
      </c>
      <c r="F35">
        <f t="shared" si="1"/>
        <v>3271</v>
      </c>
      <c r="G35">
        <f t="shared" si="4"/>
        <v>9.286699999938719E-2</v>
      </c>
      <c r="I35">
        <f>+G35</f>
        <v>9.286699999938719E-2</v>
      </c>
      <c r="O35">
        <f t="shared" ca="1" si="2"/>
        <v>0.13928684314591749</v>
      </c>
      <c r="Q35" s="2">
        <f t="shared" si="3"/>
        <v>32995.065999999999</v>
      </c>
      <c r="AA35">
        <v>8</v>
      </c>
      <c r="AB35" t="s">
        <v>28</v>
      </c>
      <c r="AD35" t="s">
        <v>30</v>
      </c>
    </row>
    <row r="36" spans="1:30" x14ac:dyDescent="0.2">
      <c r="A36" t="s">
        <v>32</v>
      </c>
      <c r="C36" s="11">
        <v>50688.549700000003</v>
      </c>
      <c r="D36" s="11">
        <v>4.1999999999999997E-3</v>
      </c>
      <c r="E36">
        <f t="shared" si="0"/>
        <v>3666.0246579885807</v>
      </c>
      <c r="F36">
        <f t="shared" si="1"/>
        <v>3666</v>
      </c>
      <c r="G36">
        <f t="shared" si="4"/>
        <v>0.16698200000246288</v>
      </c>
      <c r="K36">
        <f>+G36</f>
        <v>0.16698200000246288</v>
      </c>
      <c r="O36">
        <f t="shared" ca="1" si="2"/>
        <v>0.16710756417177966</v>
      </c>
      <c r="Q36" s="2">
        <f t="shared" si="3"/>
        <v>35670.049700000003</v>
      </c>
    </row>
    <row r="37" spans="1:30" x14ac:dyDescent="0.2">
      <c r="A37" s="45" t="s">
        <v>122</v>
      </c>
      <c r="B37" s="46" t="s">
        <v>44</v>
      </c>
      <c r="C37" s="45">
        <v>54995.538500000002</v>
      </c>
      <c r="D37" s="45" t="s">
        <v>55</v>
      </c>
      <c r="E37">
        <f t="shared" si="0"/>
        <v>4302.0314170731126</v>
      </c>
      <c r="F37">
        <f t="shared" si="1"/>
        <v>4302</v>
      </c>
      <c r="G37">
        <f t="shared" si="4"/>
        <v>0.21275400000013178</v>
      </c>
      <c r="I37">
        <f>+G37</f>
        <v>0.21275400000013178</v>
      </c>
      <c r="O37">
        <f t="shared" ca="1" si="2"/>
        <v>0.21190244663367422</v>
      </c>
      <c r="Q37" s="2">
        <f t="shared" si="3"/>
        <v>39977.038500000002</v>
      </c>
    </row>
    <row r="38" spans="1:30" x14ac:dyDescent="0.2">
      <c r="A38" s="30" t="s">
        <v>43</v>
      </c>
      <c r="B38" s="31" t="s">
        <v>44</v>
      </c>
      <c r="C38" s="30">
        <v>55740.456200000001</v>
      </c>
      <c r="D38" s="47">
        <v>4.7000000000000002E-3</v>
      </c>
      <c r="E38">
        <f t="shared" si="0"/>
        <v>4412.0323281880201</v>
      </c>
      <c r="F38">
        <f t="shared" si="1"/>
        <v>4412</v>
      </c>
      <c r="G38">
        <f t="shared" si="4"/>
        <v>0.21892400000069756</v>
      </c>
      <c r="J38">
        <f>+G38</f>
        <v>0.21892400000069756</v>
      </c>
      <c r="O38">
        <f t="shared" ca="1" si="2"/>
        <v>0.21964998919783832</v>
      </c>
      <c r="Q38" s="2">
        <f t="shared" si="3"/>
        <v>40721.956200000001</v>
      </c>
    </row>
    <row r="39" spans="1:30" x14ac:dyDescent="0.2">
      <c r="B39" s="15"/>
      <c r="C39" s="10"/>
      <c r="D39" s="10"/>
    </row>
    <row r="40" spans="1:30" x14ac:dyDescent="0.2">
      <c r="C40" s="10"/>
      <c r="D40" s="10"/>
    </row>
    <row r="41" spans="1:30" x14ac:dyDescent="0.2">
      <c r="C41" s="10"/>
      <c r="D41" s="10"/>
    </row>
    <row r="42" spans="1:30" x14ac:dyDescent="0.2">
      <c r="C42" s="10"/>
      <c r="D42" s="10"/>
    </row>
    <row r="43" spans="1:30" x14ac:dyDescent="0.2">
      <c r="C43" s="10"/>
      <c r="D43" s="10"/>
    </row>
    <row r="44" spans="1:30" x14ac:dyDescent="0.2">
      <c r="C44" s="10"/>
      <c r="D44" s="10"/>
    </row>
    <row r="45" spans="1:30" x14ac:dyDescent="0.2">
      <c r="C45" s="10"/>
      <c r="D45" s="10"/>
    </row>
    <row r="46" spans="1:30" x14ac:dyDescent="0.2">
      <c r="C46" s="10"/>
      <c r="D46" s="10"/>
    </row>
    <row r="47" spans="1:30" x14ac:dyDescent="0.2">
      <c r="C47" s="10"/>
      <c r="D47" s="10"/>
    </row>
    <row r="48" spans="1:30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0"/>
  <sheetViews>
    <sheetView topLeftCell="A6" workbookViewId="0">
      <selection activeCell="A16" sqref="A16:D28"/>
    </sheetView>
  </sheetViews>
  <sheetFormatPr defaultRowHeight="12.75" x14ac:dyDescent="0.2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2" t="s">
        <v>45</v>
      </c>
      <c r="I1" s="33" t="s">
        <v>46</v>
      </c>
      <c r="J1" s="34" t="s">
        <v>47</v>
      </c>
    </row>
    <row r="2" spans="1:16" x14ac:dyDescent="0.2">
      <c r="I2" s="35" t="s">
        <v>48</v>
      </c>
      <c r="J2" s="36" t="s">
        <v>49</v>
      </c>
    </row>
    <row r="3" spans="1:16" x14ac:dyDescent="0.2">
      <c r="A3" s="37" t="s">
        <v>50</v>
      </c>
      <c r="I3" s="35" t="s">
        <v>51</v>
      </c>
      <c r="J3" s="36" t="s">
        <v>52</v>
      </c>
    </row>
    <row r="4" spans="1:16" x14ac:dyDescent="0.2">
      <c r="I4" s="35" t="s">
        <v>53</v>
      </c>
      <c r="J4" s="36" t="s">
        <v>52</v>
      </c>
    </row>
    <row r="5" spans="1:16" ht="13.5" thickBot="1" x14ac:dyDescent="0.25">
      <c r="I5" s="38" t="s">
        <v>54</v>
      </c>
      <c r="J5" s="39" t="s">
        <v>55</v>
      </c>
    </row>
    <row r="10" spans="1:16" ht="13.5" thickBot="1" x14ac:dyDescent="0.25"/>
    <row r="11" spans="1:16" ht="12.75" customHeight="1" thickBot="1" x14ac:dyDescent="0.25">
      <c r="A11" s="10" t="str">
        <f t="shared" ref="A11:A28" si="0">P11</f>
        <v> KVBB 24.95 </v>
      </c>
      <c r="B11" s="15" t="str">
        <f t="shared" ref="B11:B28" si="1">IF(H11=INT(H11),"I","II")</f>
        <v>I</v>
      </c>
      <c r="C11" s="10">
        <f t="shared" ref="C11:C28" si="2">1*G11</f>
        <v>25862.512999999999</v>
      </c>
      <c r="D11" s="13" t="str">
        <f t="shared" ref="D11:D28" si="3">VLOOKUP(F11,I$1:J$5,2,FALSE)</f>
        <v>vis</v>
      </c>
      <c r="E11" s="40">
        <f>VLOOKUP(C11,Active!C$21:E$973,3,FALSE)</f>
        <v>0</v>
      </c>
      <c r="F11" s="15" t="s">
        <v>54</v>
      </c>
      <c r="G11" s="13" t="str">
        <f t="shared" ref="G11:G28" si="4">MID(I11,3,LEN(I11)-3)</f>
        <v>25862.513</v>
      </c>
      <c r="H11" s="10">
        <f t="shared" ref="H11:H28" si="5">1*K11</f>
        <v>0</v>
      </c>
      <c r="I11" s="41" t="s">
        <v>65</v>
      </c>
      <c r="J11" s="42" t="s">
        <v>66</v>
      </c>
      <c r="K11" s="41">
        <v>0</v>
      </c>
      <c r="L11" s="41" t="s">
        <v>67</v>
      </c>
      <c r="M11" s="42" t="s">
        <v>59</v>
      </c>
      <c r="N11" s="42"/>
      <c r="O11" s="43" t="s">
        <v>60</v>
      </c>
      <c r="P11" s="43" t="s">
        <v>61</v>
      </c>
    </row>
    <row r="12" spans="1:16" ht="12.75" customHeight="1" thickBot="1" x14ac:dyDescent="0.25">
      <c r="A12" s="10" t="str">
        <f t="shared" si="0"/>
        <v> BBS 81 </v>
      </c>
      <c r="B12" s="15" t="str">
        <f t="shared" si="1"/>
        <v>I</v>
      </c>
      <c r="C12" s="10">
        <f t="shared" si="2"/>
        <v>46645.531999999999</v>
      </c>
      <c r="D12" s="13" t="str">
        <f t="shared" si="3"/>
        <v>vis</v>
      </c>
      <c r="E12" s="40">
        <f>VLOOKUP(C12,Active!C$21:E$973,3,FALSE)</f>
        <v>3068.9981265291999</v>
      </c>
      <c r="F12" s="15" t="s">
        <v>54</v>
      </c>
      <c r="G12" s="13" t="str">
        <f t="shared" si="4"/>
        <v>46645.532</v>
      </c>
      <c r="H12" s="10">
        <f t="shared" si="5"/>
        <v>3069</v>
      </c>
      <c r="I12" s="41" t="s">
        <v>99</v>
      </c>
      <c r="J12" s="42" t="s">
        <v>100</v>
      </c>
      <c r="K12" s="41">
        <v>3069</v>
      </c>
      <c r="L12" s="41" t="s">
        <v>101</v>
      </c>
      <c r="M12" s="42" t="s">
        <v>102</v>
      </c>
      <c r="N12" s="42"/>
      <c r="O12" s="43" t="s">
        <v>103</v>
      </c>
      <c r="P12" s="43" t="s">
        <v>104</v>
      </c>
    </row>
    <row r="13" spans="1:16" ht="12.75" customHeight="1" thickBot="1" x14ac:dyDescent="0.25">
      <c r="A13" s="10" t="str">
        <f t="shared" si="0"/>
        <v> BBS 95 </v>
      </c>
      <c r="B13" s="15" t="str">
        <f t="shared" si="1"/>
        <v>I</v>
      </c>
      <c r="C13" s="10">
        <f t="shared" si="2"/>
        <v>48013.565999999999</v>
      </c>
      <c r="D13" s="13" t="str">
        <f t="shared" si="3"/>
        <v>vis</v>
      </c>
      <c r="E13" s="40">
        <f>VLOOKUP(C13,Active!C$21:E$973,3,FALSE)</f>
        <v>3271.0137135345453</v>
      </c>
      <c r="F13" s="15" t="s">
        <v>54</v>
      </c>
      <c r="G13" s="13" t="str">
        <f t="shared" si="4"/>
        <v>48013.566</v>
      </c>
      <c r="H13" s="10">
        <f t="shared" si="5"/>
        <v>3271</v>
      </c>
      <c r="I13" s="41" t="s">
        <v>105</v>
      </c>
      <c r="J13" s="42" t="s">
        <v>106</v>
      </c>
      <c r="K13" s="41">
        <v>3271</v>
      </c>
      <c r="L13" s="41" t="s">
        <v>107</v>
      </c>
      <c r="M13" s="42" t="s">
        <v>102</v>
      </c>
      <c r="N13" s="42"/>
      <c r="O13" s="43" t="s">
        <v>103</v>
      </c>
      <c r="P13" s="43" t="s">
        <v>108</v>
      </c>
    </row>
    <row r="14" spans="1:16" ht="12.75" customHeight="1" thickBot="1" x14ac:dyDescent="0.25">
      <c r="A14" s="10" t="str">
        <f t="shared" si="0"/>
        <v>IBVS 4887 </v>
      </c>
      <c r="B14" s="15" t="str">
        <f t="shared" si="1"/>
        <v>I</v>
      </c>
      <c r="C14" s="10">
        <f t="shared" si="2"/>
        <v>50688.549700000003</v>
      </c>
      <c r="D14" s="13" t="str">
        <f t="shared" si="3"/>
        <v>vis</v>
      </c>
      <c r="E14" s="40">
        <f>VLOOKUP(C14,Active!C$21:E$973,3,FALSE)</f>
        <v>3666.0246579885807</v>
      </c>
      <c r="F14" s="15" t="s">
        <v>54</v>
      </c>
      <c r="G14" s="13" t="str">
        <f t="shared" si="4"/>
        <v>50688.5497</v>
      </c>
      <c r="H14" s="10">
        <f t="shared" si="5"/>
        <v>3666</v>
      </c>
      <c r="I14" s="41" t="s">
        <v>109</v>
      </c>
      <c r="J14" s="42" t="s">
        <v>110</v>
      </c>
      <c r="K14" s="41">
        <v>3666</v>
      </c>
      <c r="L14" s="41" t="s">
        <v>111</v>
      </c>
      <c r="M14" s="42" t="s">
        <v>112</v>
      </c>
      <c r="N14" s="42" t="s">
        <v>113</v>
      </c>
      <c r="O14" s="43" t="s">
        <v>114</v>
      </c>
      <c r="P14" s="44" t="s">
        <v>115</v>
      </c>
    </row>
    <row r="15" spans="1:16" ht="12.75" customHeight="1" thickBot="1" x14ac:dyDescent="0.25">
      <c r="A15" s="10" t="str">
        <f t="shared" si="0"/>
        <v>BAVM 220 </v>
      </c>
      <c r="B15" s="15" t="str">
        <f t="shared" si="1"/>
        <v>I</v>
      </c>
      <c r="C15" s="10">
        <f t="shared" si="2"/>
        <v>55740.456200000001</v>
      </c>
      <c r="D15" s="13" t="str">
        <f t="shared" si="3"/>
        <v>vis</v>
      </c>
      <c r="E15" s="40">
        <f>VLOOKUP(C15,Active!C$21:E$973,3,FALSE)</f>
        <v>4412.0323281880201</v>
      </c>
      <c r="F15" s="15" t="s">
        <v>54</v>
      </c>
      <c r="G15" s="13" t="str">
        <f t="shared" si="4"/>
        <v>55740.4562</v>
      </c>
      <c r="H15" s="10">
        <f t="shared" si="5"/>
        <v>4412</v>
      </c>
      <c r="I15" s="41" t="s">
        <v>123</v>
      </c>
      <c r="J15" s="42" t="s">
        <v>124</v>
      </c>
      <c r="K15" s="41">
        <v>4412</v>
      </c>
      <c r="L15" s="41" t="s">
        <v>125</v>
      </c>
      <c r="M15" s="42" t="s">
        <v>119</v>
      </c>
      <c r="N15" s="42" t="s">
        <v>126</v>
      </c>
      <c r="O15" s="43" t="s">
        <v>127</v>
      </c>
      <c r="P15" s="44" t="s">
        <v>128</v>
      </c>
    </row>
    <row r="16" spans="1:16" ht="12.75" customHeight="1" thickBot="1" x14ac:dyDescent="0.25">
      <c r="A16" s="10" t="str">
        <f t="shared" si="0"/>
        <v> KVBB 24.95 </v>
      </c>
      <c r="B16" s="15" t="str">
        <f t="shared" si="1"/>
        <v>I</v>
      </c>
      <c r="C16" s="10">
        <f t="shared" si="2"/>
        <v>25740.528999999999</v>
      </c>
      <c r="D16" s="13" t="str">
        <f t="shared" si="3"/>
        <v>vis</v>
      </c>
      <c r="E16" s="40">
        <f>VLOOKUP(C16,Active!C$21:E$973,3,FALSE)</f>
        <v>-18.013199500348776</v>
      </c>
      <c r="F16" s="15" t="s">
        <v>54</v>
      </c>
      <c r="G16" s="13" t="str">
        <f t="shared" si="4"/>
        <v>25740.529</v>
      </c>
      <c r="H16" s="10">
        <f t="shared" si="5"/>
        <v>-18</v>
      </c>
      <c r="I16" s="41" t="s">
        <v>56</v>
      </c>
      <c r="J16" s="42" t="s">
        <v>57</v>
      </c>
      <c r="K16" s="41">
        <v>-18</v>
      </c>
      <c r="L16" s="41" t="s">
        <v>58</v>
      </c>
      <c r="M16" s="42" t="s">
        <v>59</v>
      </c>
      <c r="N16" s="42"/>
      <c r="O16" s="43" t="s">
        <v>60</v>
      </c>
      <c r="P16" s="43" t="s">
        <v>61</v>
      </c>
    </row>
    <row r="17" spans="1:16" ht="12.75" customHeight="1" thickBot="1" x14ac:dyDescent="0.25">
      <c r="A17" s="10" t="str">
        <f t="shared" si="0"/>
        <v> KVBB 24.95 </v>
      </c>
      <c r="B17" s="15" t="str">
        <f t="shared" si="1"/>
        <v>I</v>
      </c>
      <c r="C17" s="10">
        <f t="shared" si="2"/>
        <v>25828.53</v>
      </c>
      <c r="D17" s="13" t="str">
        <f t="shared" si="3"/>
        <v>vis</v>
      </c>
      <c r="E17" s="40">
        <f>VLOOKUP(C17,Active!C$21:E$973,3,FALSE)</f>
        <v>-5.0182200831285551</v>
      </c>
      <c r="F17" s="15" t="s">
        <v>54</v>
      </c>
      <c r="G17" s="13" t="str">
        <f t="shared" si="4"/>
        <v>25828.530</v>
      </c>
      <c r="H17" s="10">
        <f t="shared" si="5"/>
        <v>-5</v>
      </c>
      <c r="I17" s="41" t="s">
        <v>62</v>
      </c>
      <c r="J17" s="42" t="s">
        <v>63</v>
      </c>
      <c r="K17" s="41">
        <v>-5</v>
      </c>
      <c r="L17" s="41" t="s">
        <v>64</v>
      </c>
      <c r="M17" s="42" t="s">
        <v>59</v>
      </c>
      <c r="N17" s="42"/>
      <c r="O17" s="43" t="s">
        <v>60</v>
      </c>
      <c r="P17" s="43" t="s">
        <v>61</v>
      </c>
    </row>
    <row r="18" spans="1:16" ht="12.75" customHeight="1" thickBot="1" x14ac:dyDescent="0.25">
      <c r="A18" s="10" t="str">
        <f t="shared" si="0"/>
        <v> KVBB 24.95 </v>
      </c>
      <c r="B18" s="15" t="str">
        <f t="shared" si="1"/>
        <v>I</v>
      </c>
      <c r="C18" s="10">
        <f t="shared" si="2"/>
        <v>26133.517</v>
      </c>
      <c r="D18" s="13" t="str">
        <f t="shared" si="3"/>
        <v>vis</v>
      </c>
      <c r="E18" s="40">
        <f>VLOOKUP(C18,Active!C$21:E$973,3,FALSE)</f>
        <v>40.018765718393553</v>
      </c>
      <c r="F18" s="15" t="s">
        <v>54</v>
      </c>
      <c r="G18" s="13" t="str">
        <f t="shared" si="4"/>
        <v>26133.517</v>
      </c>
      <c r="H18" s="10">
        <f t="shared" si="5"/>
        <v>40</v>
      </c>
      <c r="I18" s="41" t="s">
        <v>68</v>
      </c>
      <c r="J18" s="42" t="s">
        <v>69</v>
      </c>
      <c r="K18" s="41">
        <v>40</v>
      </c>
      <c r="L18" s="41" t="s">
        <v>70</v>
      </c>
      <c r="M18" s="42" t="s">
        <v>59</v>
      </c>
      <c r="N18" s="42"/>
      <c r="O18" s="43" t="s">
        <v>60</v>
      </c>
      <c r="P18" s="43" t="s">
        <v>61</v>
      </c>
    </row>
    <row r="19" spans="1:16" ht="12.75" customHeight="1" thickBot="1" x14ac:dyDescent="0.25">
      <c r="A19" s="10" t="str">
        <f t="shared" si="0"/>
        <v> KVBB 24.95 </v>
      </c>
      <c r="B19" s="15" t="str">
        <f t="shared" si="1"/>
        <v>I</v>
      </c>
      <c r="C19" s="10">
        <f t="shared" si="2"/>
        <v>27284.527999999998</v>
      </c>
      <c r="D19" s="13" t="str">
        <f t="shared" si="3"/>
        <v>vis</v>
      </c>
      <c r="E19" s="40">
        <f>VLOOKUP(C19,Active!C$21:E$973,3,FALSE)</f>
        <v>209.98688260336087</v>
      </c>
      <c r="F19" s="15" t="s">
        <v>54</v>
      </c>
      <c r="G19" s="13" t="str">
        <f t="shared" si="4"/>
        <v>27284.528</v>
      </c>
      <c r="H19" s="10">
        <f t="shared" si="5"/>
        <v>210</v>
      </c>
      <c r="I19" s="41" t="s">
        <v>71</v>
      </c>
      <c r="J19" s="42" t="s">
        <v>72</v>
      </c>
      <c r="K19" s="41">
        <v>210</v>
      </c>
      <c r="L19" s="41" t="s">
        <v>58</v>
      </c>
      <c r="M19" s="42" t="s">
        <v>59</v>
      </c>
      <c r="N19" s="42"/>
      <c r="O19" s="43" t="s">
        <v>60</v>
      </c>
      <c r="P19" s="43" t="s">
        <v>61</v>
      </c>
    </row>
    <row r="20" spans="1:16" ht="12.75" customHeight="1" thickBot="1" x14ac:dyDescent="0.25">
      <c r="A20" s="10" t="str">
        <f t="shared" si="0"/>
        <v> MSAI 40.389 </v>
      </c>
      <c r="B20" s="15" t="str">
        <f t="shared" si="1"/>
        <v>I</v>
      </c>
      <c r="C20" s="10">
        <f t="shared" si="2"/>
        <v>34591.415999999997</v>
      </c>
      <c r="D20" s="13" t="str">
        <f t="shared" si="3"/>
        <v>vis</v>
      </c>
      <c r="E20" s="40">
        <f>VLOOKUP(C20,Active!C$21:E$973,3,FALSE)</f>
        <v>1288.9843844946256</v>
      </c>
      <c r="F20" s="15" t="s">
        <v>54</v>
      </c>
      <c r="G20" s="13" t="str">
        <f t="shared" si="4"/>
        <v>34591.416</v>
      </c>
      <c r="H20" s="10">
        <f t="shared" si="5"/>
        <v>1289</v>
      </c>
      <c r="I20" s="41" t="s">
        <v>73</v>
      </c>
      <c r="J20" s="42" t="s">
        <v>74</v>
      </c>
      <c r="K20" s="41">
        <v>1289</v>
      </c>
      <c r="L20" s="41" t="s">
        <v>75</v>
      </c>
      <c r="M20" s="42" t="s">
        <v>59</v>
      </c>
      <c r="N20" s="42"/>
      <c r="O20" s="43" t="s">
        <v>76</v>
      </c>
      <c r="P20" s="43" t="s">
        <v>77</v>
      </c>
    </row>
    <row r="21" spans="1:16" ht="12.75" customHeight="1" thickBot="1" x14ac:dyDescent="0.25">
      <c r="A21" s="10" t="str">
        <f t="shared" si="0"/>
        <v> MSAI 40.389 </v>
      </c>
      <c r="B21" s="15" t="str">
        <f t="shared" si="1"/>
        <v>I</v>
      </c>
      <c r="C21" s="10">
        <f t="shared" si="2"/>
        <v>37469.49</v>
      </c>
      <c r="D21" s="13" t="str">
        <f t="shared" si="3"/>
        <v>vis</v>
      </c>
      <c r="E21" s="40">
        <f>VLOOKUP(C21,Active!C$21:E$973,3,FALSE)</f>
        <v>1713.9853775655747</v>
      </c>
      <c r="F21" s="15" t="s">
        <v>54</v>
      </c>
      <c r="G21" s="13" t="str">
        <f t="shared" si="4"/>
        <v>37469.490</v>
      </c>
      <c r="H21" s="10">
        <f t="shared" si="5"/>
        <v>1714</v>
      </c>
      <c r="I21" s="41" t="s">
        <v>78</v>
      </c>
      <c r="J21" s="42" t="s">
        <v>79</v>
      </c>
      <c r="K21" s="41">
        <v>1714</v>
      </c>
      <c r="L21" s="41" t="s">
        <v>80</v>
      </c>
      <c r="M21" s="42" t="s">
        <v>59</v>
      </c>
      <c r="N21" s="42"/>
      <c r="O21" s="43" t="s">
        <v>76</v>
      </c>
      <c r="P21" s="43" t="s">
        <v>77</v>
      </c>
    </row>
    <row r="22" spans="1:16" ht="12.75" customHeight="1" thickBot="1" x14ac:dyDescent="0.25">
      <c r="A22" s="10" t="str">
        <f t="shared" si="0"/>
        <v> MSAI 40.389 </v>
      </c>
      <c r="B22" s="15" t="str">
        <f t="shared" si="1"/>
        <v>I</v>
      </c>
      <c r="C22" s="10">
        <f t="shared" si="2"/>
        <v>37530.480000000003</v>
      </c>
      <c r="D22" s="13" t="str">
        <f t="shared" si="3"/>
        <v>vis</v>
      </c>
      <c r="E22" s="40">
        <f>VLOOKUP(C22,Active!C$21:E$973,3,FALSE)</f>
        <v>1722.9916819786645</v>
      </c>
      <c r="F22" s="15" t="s">
        <v>54</v>
      </c>
      <c r="G22" s="13" t="str">
        <f t="shared" si="4"/>
        <v>37530.480</v>
      </c>
      <c r="H22" s="10">
        <f t="shared" si="5"/>
        <v>1723</v>
      </c>
      <c r="I22" s="41" t="s">
        <v>81</v>
      </c>
      <c r="J22" s="42" t="s">
        <v>82</v>
      </c>
      <c r="K22" s="41">
        <v>1723</v>
      </c>
      <c r="L22" s="41" t="s">
        <v>83</v>
      </c>
      <c r="M22" s="42" t="s">
        <v>59</v>
      </c>
      <c r="N22" s="42"/>
      <c r="O22" s="43" t="s">
        <v>76</v>
      </c>
      <c r="P22" s="43" t="s">
        <v>77</v>
      </c>
    </row>
    <row r="23" spans="1:16" ht="12.75" customHeight="1" thickBot="1" x14ac:dyDescent="0.25">
      <c r="A23" s="10" t="str">
        <f t="shared" si="0"/>
        <v> MSAI 40.389 </v>
      </c>
      <c r="B23" s="15" t="str">
        <f t="shared" si="1"/>
        <v>I</v>
      </c>
      <c r="C23" s="10">
        <f t="shared" si="2"/>
        <v>37571.328000000001</v>
      </c>
      <c r="D23" s="13" t="str">
        <f t="shared" si="3"/>
        <v>vis</v>
      </c>
      <c r="E23" s="40">
        <f>VLOOKUP(C23,Active!C$21:E$973,3,FALSE)</f>
        <v>1729.0236466067322</v>
      </c>
      <c r="F23" s="15" t="s">
        <v>54</v>
      </c>
      <c r="G23" s="13" t="str">
        <f t="shared" si="4"/>
        <v>37571.328</v>
      </c>
      <c r="H23" s="10">
        <f t="shared" si="5"/>
        <v>1729</v>
      </c>
      <c r="I23" s="41" t="s">
        <v>84</v>
      </c>
      <c r="J23" s="42" t="s">
        <v>85</v>
      </c>
      <c r="K23" s="41">
        <v>1729</v>
      </c>
      <c r="L23" s="41" t="s">
        <v>86</v>
      </c>
      <c r="M23" s="42" t="s">
        <v>59</v>
      </c>
      <c r="N23" s="42"/>
      <c r="O23" s="43" t="s">
        <v>76</v>
      </c>
      <c r="P23" s="43" t="s">
        <v>77</v>
      </c>
    </row>
    <row r="24" spans="1:16" ht="12.75" customHeight="1" thickBot="1" x14ac:dyDescent="0.25">
      <c r="A24" s="10" t="str">
        <f t="shared" si="0"/>
        <v> MSAI 40.389 </v>
      </c>
      <c r="B24" s="15" t="str">
        <f t="shared" si="1"/>
        <v>I</v>
      </c>
      <c r="C24" s="10">
        <f t="shared" si="2"/>
        <v>37855.542999999998</v>
      </c>
      <c r="D24" s="13" t="str">
        <f t="shared" si="3"/>
        <v>vis</v>
      </c>
      <c r="E24" s="40">
        <f>VLOOKUP(C24,Active!C$21:E$973,3,FALSE)</f>
        <v>1770.9932614413954</v>
      </c>
      <c r="F24" s="15" t="s">
        <v>54</v>
      </c>
      <c r="G24" s="13" t="str">
        <f t="shared" si="4"/>
        <v>37855.543</v>
      </c>
      <c r="H24" s="10">
        <f t="shared" si="5"/>
        <v>1771</v>
      </c>
      <c r="I24" s="41" t="s">
        <v>87</v>
      </c>
      <c r="J24" s="42" t="s">
        <v>88</v>
      </c>
      <c r="K24" s="41">
        <v>1771</v>
      </c>
      <c r="L24" s="41" t="s">
        <v>89</v>
      </c>
      <c r="M24" s="42" t="s">
        <v>59</v>
      </c>
      <c r="N24" s="42"/>
      <c r="O24" s="43" t="s">
        <v>76</v>
      </c>
      <c r="P24" s="43" t="s">
        <v>77</v>
      </c>
    </row>
    <row r="25" spans="1:16" ht="12.75" customHeight="1" thickBot="1" x14ac:dyDescent="0.25">
      <c r="A25" s="10" t="str">
        <f t="shared" si="0"/>
        <v> MSAI 40.389 </v>
      </c>
      <c r="B25" s="15" t="str">
        <f t="shared" si="1"/>
        <v>I</v>
      </c>
      <c r="C25" s="10">
        <f t="shared" si="2"/>
        <v>39765.353999999999</v>
      </c>
      <c r="D25" s="13" t="str">
        <f t="shared" si="3"/>
        <v>vis</v>
      </c>
      <c r="E25" s="40">
        <f>VLOOKUP(C25,Active!C$21:E$973,3,FALSE)</f>
        <v>2053.0122684501875</v>
      </c>
      <c r="F25" s="15" t="s">
        <v>54</v>
      </c>
      <c r="G25" s="13" t="str">
        <f t="shared" si="4"/>
        <v>39765.354</v>
      </c>
      <c r="H25" s="10">
        <f t="shared" si="5"/>
        <v>2053</v>
      </c>
      <c r="I25" s="41" t="s">
        <v>90</v>
      </c>
      <c r="J25" s="42" t="s">
        <v>91</v>
      </c>
      <c r="K25" s="41">
        <v>2053</v>
      </c>
      <c r="L25" s="41" t="s">
        <v>92</v>
      </c>
      <c r="M25" s="42" t="s">
        <v>59</v>
      </c>
      <c r="N25" s="42"/>
      <c r="O25" s="43" t="s">
        <v>76</v>
      </c>
      <c r="P25" s="43" t="s">
        <v>77</v>
      </c>
    </row>
    <row r="26" spans="1:16" ht="12.75" customHeight="1" thickBot="1" x14ac:dyDescent="0.25">
      <c r="A26" s="10" t="str">
        <f t="shared" si="0"/>
        <v> MSAI 40.389 </v>
      </c>
      <c r="B26" s="15" t="str">
        <f t="shared" si="1"/>
        <v>I</v>
      </c>
      <c r="C26" s="10">
        <f t="shared" si="2"/>
        <v>40056.466999999997</v>
      </c>
      <c r="D26" s="13" t="str">
        <f t="shared" si="3"/>
        <v>vis</v>
      </c>
      <c r="E26" s="40">
        <f>VLOOKUP(C26,Active!C$21:E$973,3,FALSE)</f>
        <v>2096.000500891696</v>
      </c>
      <c r="F26" s="15" t="s">
        <v>54</v>
      </c>
      <c r="G26" s="13" t="str">
        <f t="shared" si="4"/>
        <v>40056.467</v>
      </c>
      <c r="H26" s="10">
        <f t="shared" si="5"/>
        <v>2096</v>
      </c>
      <c r="I26" s="41" t="s">
        <v>93</v>
      </c>
      <c r="J26" s="42" t="s">
        <v>94</v>
      </c>
      <c r="K26" s="41">
        <v>2096</v>
      </c>
      <c r="L26" s="41" t="s">
        <v>95</v>
      </c>
      <c r="M26" s="42" t="s">
        <v>59</v>
      </c>
      <c r="N26" s="42"/>
      <c r="O26" s="43" t="s">
        <v>76</v>
      </c>
      <c r="P26" s="43" t="s">
        <v>77</v>
      </c>
    </row>
    <row r="27" spans="1:16" ht="12.75" customHeight="1" thickBot="1" x14ac:dyDescent="0.25">
      <c r="A27" s="10" t="str">
        <f t="shared" si="0"/>
        <v> MSAI 40.389 </v>
      </c>
      <c r="B27" s="15" t="str">
        <f t="shared" si="1"/>
        <v>I</v>
      </c>
      <c r="C27" s="10">
        <f t="shared" si="2"/>
        <v>40117.470999999998</v>
      </c>
      <c r="D27" s="13" t="str">
        <f t="shared" si="3"/>
        <v>vis</v>
      </c>
      <c r="E27" s="40">
        <f>VLOOKUP(C27,Active!C$21:E$973,3,FALSE)</f>
        <v>2105.0088726643817</v>
      </c>
      <c r="F27" s="15" t="s">
        <v>54</v>
      </c>
      <c r="G27" s="13" t="str">
        <f t="shared" si="4"/>
        <v>40117.471</v>
      </c>
      <c r="H27" s="10">
        <f t="shared" si="5"/>
        <v>2105</v>
      </c>
      <c r="I27" s="41" t="s">
        <v>96</v>
      </c>
      <c r="J27" s="42" t="s">
        <v>97</v>
      </c>
      <c r="K27" s="41">
        <v>2105</v>
      </c>
      <c r="L27" s="41" t="s">
        <v>98</v>
      </c>
      <c r="M27" s="42" t="s">
        <v>59</v>
      </c>
      <c r="N27" s="42"/>
      <c r="O27" s="43" t="s">
        <v>76</v>
      </c>
      <c r="P27" s="43" t="s">
        <v>77</v>
      </c>
    </row>
    <row r="28" spans="1:16" ht="12.75" customHeight="1" thickBot="1" x14ac:dyDescent="0.25">
      <c r="A28" s="10" t="str">
        <f t="shared" si="0"/>
        <v>BAVM 212 </v>
      </c>
      <c r="B28" s="15" t="str">
        <f t="shared" si="1"/>
        <v>I</v>
      </c>
      <c r="C28" s="10">
        <f t="shared" si="2"/>
        <v>54995.538500000002</v>
      </c>
      <c r="D28" s="13" t="str">
        <f t="shared" si="3"/>
        <v>vis</v>
      </c>
      <c r="E28" s="40">
        <f>VLOOKUP(C28,Active!C$21:E$973,3,FALSE)</f>
        <v>4302.0314170731126</v>
      </c>
      <c r="F28" s="15" t="s">
        <v>54</v>
      </c>
      <c r="G28" s="13" t="str">
        <f t="shared" si="4"/>
        <v>54995.5385</v>
      </c>
      <c r="H28" s="10">
        <f t="shared" si="5"/>
        <v>4302</v>
      </c>
      <c r="I28" s="41" t="s">
        <v>116</v>
      </c>
      <c r="J28" s="42" t="s">
        <v>117</v>
      </c>
      <c r="K28" s="41">
        <v>4302</v>
      </c>
      <c r="L28" s="41" t="s">
        <v>118</v>
      </c>
      <c r="M28" s="42" t="s">
        <v>119</v>
      </c>
      <c r="N28" s="42" t="s">
        <v>120</v>
      </c>
      <c r="O28" s="43" t="s">
        <v>121</v>
      </c>
      <c r="P28" s="44" t="s">
        <v>122</v>
      </c>
    </row>
    <row r="29" spans="1:16" x14ac:dyDescent="0.2">
      <c r="B29" s="15"/>
      <c r="E29" s="40"/>
      <c r="F29" s="15"/>
    </row>
    <row r="30" spans="1:16" x14ac:dyDescent="0.2">
      <c r="B30" s="15"/>
      <c r="E30" s="40"/>
      <c r="F30" s="15"/>
    </row>
    <row r="31" spans="1:16" x14ac:dyDescent="0.2">
      <c r="B31" s="15"/>
      <c r="E31" s="40"/>
      <c r="F31" s="15"/>
    </row>
    <row r="32" spans="1:16" x14ac:dyDescent="0.2">
      <c r="B32" s="15"/>
      <c r="E32" s="40"/>
      <c r="F32" s="15"/>
    </row>
    <row r="33" spans="2:6" x14ac:dyDescent="0.2">
      <c r="B33" s="15"/>
      <c r="F33" s="15"/>
    </row>
    <row r="34" spans="2:6" x14ac:dyDescent="0.2">
      <c r="B34" s="15"/>
      <c r="F34" s="15"/>
    </row>
    <row r="35" spans="2:6" x14ac:dyDescent="0.2">
      <c r="B35" s="15"/>
      <c r="F35" s="15"/>
    </row>
    <row r="36" spans="2:6" x14ac:dyDescent="0.2">
      <c r="B36" s="15"/>
      <c r="F36" s="15"/>
    </row>
    <row r="37" spans="2:6" x14ac:dyDescent="0.2">
      <c r="B37" s="15"/>
      <c r="F37" s="15"/>
    </row>
    <row r="38" spans="2:6" x14ac:dyDescent="0.2">
      <c r="B38" s="15"/>
      <c r="F38" s="15"/>
    </row>
    <row r="39" spans="2:6" x14ac:dyDescent="0.2">
      <c r="B39" s="15"/>
      <c r="F39" s="15"/>
    </row>
    <row r="40" spans="2:6" x14ac:dyDescent="0.2">
      <c r="B40" s="15"/>
      <c r="F40" s="15"/>
    </row>
    <row r="41" spans="2:6" x14ac:dyDescent="0.2">
      <c r="B41" s="15"/>
      <c r="F41" s="15"/>
    </row>
    <row r="42" spans="2:6" x14ac:dyDescent="0.2">
      <c r="B42" s="15"/>
      <c r="F42" s="15"/>
    </row>
    <row r="43" spans="2:6" x14ac:dyDescent="0.2">
      <c r="B43" s="15"/>
      <c r="F43" s="15"/>
    </row>
    <row r="44" spans="2:6" x14ac:dyDescent="0.2">
      <c r="B44" s="15"/>
      <c r="F44" s="15"/>
    </row>
    <row r="45" spans="2:6" x14ac:dyDescent="0.2">
      <c r="B45" s="15"/>
      <c r="F45" s="15"/>
    </row>
    <row r="46" spans="2:6" x14ac:dyDescent="0.2">
      <c r="B46" s="15"/>
      <c r="F46" s="15"/>
    </row>
    <row r="47" spans="2:6" x14ac:dyDescent="0.2">
      <c r="B47" s="15"/>
      <c r="F47" s="15"/>
    </row>
    <row r="48" spans="2:6" x14ac:dyDescent="0.2">
      <c r="B48" s="15"/>
      <c r="F48" s="15"/>
    </row>
    <row r="49" spans="2:6" x14ac:dyDescent="0.2">
      <c r="B49" s="15"/>
      <c r="F49" s="15"/>
    </row>
    <row r="50" spans="2:6" x14ac:dyDescent="0.2">
      <c r="B50" s="15"/>
      <c r="F50" s="15"/>
    </row>
    <row r="51" spans="2:6" x14ac:dyDescent="0.2">
      <c r="B51" s="15"/>
      <c r="F51" s="15"/>
    </row>
    <row r="52" spans="2:6" x14ac:dyDescent="0.2">
      <c r="B52" s="15"/>
      <c r="F52" s="15"/>
    </row>
    <row r="53" spans="2:6" x14ac:dyDescent="0.2">
      <c r="B53" s="15"/>
      <c r="F53" s="15"/>
    </row>
    <row r="54" spans="2:6" x14ac:dyDescent="0.2">
      <c r="B54" s="15"/>
      <c r="F54" s="15"/>
    </row>
    <row r="55" spans="2:6" x14ac:dyDescent="0.2">
      <c r="B55" s="15"/>
      <c r="F55" s="15"/>
    </row>
    <row r="56" spans="2:6" x14ac:dyDescent="0.2">
      <c r="B56" s="15"/>
      <c r="F56" s="15"/>
    </row>
    <row r="57" spans="2:6" x14ac:dyDescent="0.2">
      <c r="B57" s="15"/>
      <c r="F57" s="15"/>
    </row>
    <row r="58" spans="2:6" x14ac:dyDescent="0.2">
      <c r="B58" s="15"/>
      <c r="F58" s="15"/>
    </row>
    <row r="59" spans="2:6" x14ac:dyDescent="0.2">
      <c r="B59" s="15"/>
      <c r="F59" s="15"/>
    </row>
    <row r="60" spans="2:6" x14ac:dyDescent="0.2">
      <c r="B60" s="15"/>
      <c r="F60" s="15"/>
    </row>
    <row r="61" spans="2:6" x14ac:dyDescent="0.2">
      <c r="B61" s="15"/>
      <c r="F61" s="15"/>
    </row>
    <row r="62" spans="2:6" x14ac:dyDescent="0.2">
      <c r="B62" s="15"/>
      <c r="F62" s="15"/>
    </row>
    <row r="63" spans="2:6" x14ac:dyDescent="0.2">
      <c r="B63" s="15"/>
      <c r="F63" s="15"/>
    </row>
    <row r="64" spans="2: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</sheetData>
  <phoneticPr fontId="7" type="noConversion"/>
  <hyperlinks>
    <hyperlink ref="P14" r:id="rId1" display="http://www.konkoly.hu/cgi-bin/IBVS?4887"/>
    <hyperlink ref="P28" r:id="rId2" display="http://www.bav-astro.de/sfs/BAVM_link.php?BAVMnr=212"/>
    <hyperlink ref="P15" r:id="rId3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2024-01-31T03:06:09Z</dcterms:modified>
</cp:coreProperties>
</file>