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15A780-C424-4836-B3F7-204EDE2686A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0" i="1" l="1"/>
  <c r="Q48" i="1"/>
  <c r="C7" i="1"/>
  <c r="E34" i="1"/>
  <c r="F34" i="1"/>
  <c r="G34" i="1"/>
  <c r="I34" i="1"/>
  <c r="C8" i="1"/>
  <c r="E46" i="1"/>
  <c r="F46" i="1"/>
  <c r="G46" i="1"/>
  <c r="J46" i="1"/>
  <c r="E28" i="1"/>
  <c r="F28" i="1"/>
  <c r="G28" i="1"/>
  <c r="I28" i="1"/>
  <c r="E38" i="1"/>
  <c r="F38" i="1"/>
  <c r="E40" i="1"/>
  <c r="F40" i="1"/>
  <c r="G40" i="1"/>
  <c r="K40" i="1"/>
  <c r="E48" i="1"/>
  <c r="F48" i="1"/>
  <c r="D9" i="1"/>
  <c r="C9" i="1"/>
  <c r="E42" i="1"/>
  <c r="F42" i="1"/>
  <c r="G42" i="1"/>
  <c r="K42" i="1"/>
  <c r="E44" i="1"/>
  <c r="F44" i="1"/>
  <c r="G44" i="1"/>
  <c r="K44" i="1"/>
  <c r="E43" i="1"/>
  <c r="F43" i="1"/>
  <c r="G43" i="1"/>
  <c r="J43" i="1"/>
  <c r="E47" i="1"/>
  <c r="F47" i="1"/>
  <c r="G47" i="1"/>
  <c r="J47" i="1"/>
  <c r="E49" i="1"/>
  <c r="F49" i="1"/>
  <c r="G49" i="1"/>
  <c r="J49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7" i="2"/>
  <c r="C17" i="2"/>
  <c r="E17" i="2"/>
  <c r="G39" i="2"/>
  <c r="C39" i="2"/>
  <c r="E39" i="2"/>
  <c r="G16" i="2"/>
  <c r="C16" i="2"/>
  <c r="E16" i="2"/>
  <c r="G15" i="2"/>
  <c r="C15" i="2"/>
  <c r="G14" i="2"/>
  <c r="C14" i="2"/>
  <c r="G13" i="2"/>
  <c r="C13" i="2"/>
  <c r="E13" i="2"/>
  <c r="G12" i="2"/>
  <c r="C12" i="2"/>
  <c r="E12" i="2"/>
  <c r="G38" i="2"/>
  <c r="C38" i="2"/>
  <c r="E38" i="2"/>
  <c r="G11" i="2"/>
  <c r="C11" i="2"/>
  <c r="G37" i="2"/>
  <c r="C37" i="2"/>
  <c r="E37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D17" i="2"/>
  <c r="B17" i="2"/>
  <c r="A17" i="2"/>
  <c r="H39" i="2"/>
  <c r="B39" i="2"/>
  <c r="D39" i="2"/>
  <c r="A39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38" i="2"/>
  <c r="B38" i="2"/>
  <c r="D38" i="2"/>
  <c r="A38" i="2"/>
  <c r="H11" i="2"/>
  <c r="D11" i="2"/>
  <c r="B11" i="2"/>
  <c r="A11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Q49" i="1"/>
  <c r="F16" i="1"/>
  <c r="C17" i="1"/>
  <c r="Q47" i="1"/>
  <c r="Q45" i="1"/>
  <c r="Q46" i="1"/>
  <c r="Q42" i="1"/>
  <c r="Q44" i="1"/>
  <c r="Q43" i="1"/>
  <c r="Q41" i="1"/>
  <c r="E30" i="2"/>
  <c r="E18" i="2"/>
  <c r="E11" i="2"/>
  <c r="E15" i="2"/>
  <c r="E22" i="2"/>
  <c r="E28" i="2"/>
  <c r="E29" i="2"/>
  <c r="E22" i="1"/>
  <c r="F22" i="1"/>
  <c r="G22" i="1"/>
  <c r="I22" i="1"/>
  <c r="E25" i="1"/>
  <c r="F25" i="1"/>
  <c r="E31" i="1"/>
  <c r="F31" i="1"/>
  <c r="G31" i="1"/>
  <c r="I31" i="1"/>
  <c r="E45" i="1"/>
  <c r="F45" i="1"/>
  <c r="G45" i="1"/>
  <c r="J45" i="1"/>
  <c r="G37" i="1"/>
  <c r="I37" i="1"/>
  <c r="E35" i="1"/>
  <c r="F35" i="1"/>
  <c r="G35" i="1"/>
  <c r="I35" i="1"/>
  <c r="G21" i="1"/>
  <c r="I21" i="1"/>
  <c r="E23" i="1"/>
  <c r="F23" i="1"/>
  <c r="G23" i="1"/>
  <c r="I23" i="1"/>
  <c r="E26" i="1"/>
  <c r="F26" i="1"/>
  <c r="E32" i="1"/>
  <c r="F32" i="1"/>
  <c r="G32" i="1"/>
  <c r="I32" i="1"/>
  <c r="E37" i="1"/>
  <c r="F37" i="1"/>
  <c r="G50" i="1"/>
  <c r="K50" i="1"/>
  <c r="G26" i="1"/>
  <c r="I26" i="1"/>
  <c r="E24" i="1"/>
  <c r="F24" i="1"/>
  <c r="E29" i="1"/>
  <c r="F29" i="1"/>
  <c r="G29" i="1"/>
  <c r="I29" i="1"/>
  <c r="E33" i="1"/>
  <c r="F33" i="1"/>
  <c r="G33" i="1"/>
  <c r="I33" i="1"/>
  <c r="E41" i="1"/>
  <c r="F41" i="1"/>
  <c r="G48" i="1"/>
  <c r="I48" i="1"/>
  <c r="E39" i="1"/>
  <c r="F39" i="1"/>
  <c r="G39" i="1"/>
  <c r="K39" i="1"/>
  <c r="G25" i="1"/>
  <c r="I25" i="1"/>
  <c r="E50" i="1"/>
  <c r="F50" i="1"/>
  <c r="G38" i="1"/>
  <c r="I38" i="1"/>
  <c r="E36" i="1"/>
  <c r="F36" i="1"/>
  <c r="G36" i="1"/>
  <c r="I36" i="1"/>
  <c r="G24" i="1"/>
  <c r="I24" i="1"/>
  <c r="E27" i="1"/>
  <c r="F27" i="1"/>
  <c r="G27" i="1"/>
  <c r="I27" i="1"/>
  <c r="E21" i="1"/>
  <c r="F21" i="1"/>
  <c r="E30" i="1"/>
  <c r="F30" i="1"/>
  <c r="G30" i="1"/>
  <c r="I30" i="1"/>
  <c r="E23" i="2"/>
  <c r="E32" i="2"/>
  <c r="E33" i="2"/>
  <c r="E20" i="2"/>
  <c r="E27" i="2"/>
  <c r="E24" i="2"/>
  <c r="E36" i="2"/>
  <c r="E26" i="2"/>
  <c r="E14" i="2"/>
  <c r="E34" i="2"/>
  <c r="E21" i="2"/>
  <c r="E19" i="2"/>
  <c r="C12" i="1"/>
  <c r="C11" i="1"/>
  <c r="O34" i="1" l="1"/>
  <c r="O23" i="1"/>
  <c r="O30" i="1"/>
  <c r="O32" i="1"/>
  <c r="O44" i="1"/>
  <c r="O26" i="1"/>
  <c r="O42" i="1"/>
  <c r="O35" i="1"/>
  <c r="O41" i="1"/>
  <c r="O47" i="1"/>
  <c r="O49" i="1"/>
  <c r="O39" i="1"/>
  <c r="O50" i="1"/>
  <c r="O38" i="1"/>
  <c r="O46" i="1"/>
  <c r="O36" i="1"/>
  <c r="O24" i="1"/>
  <c r="O28" i="1"/>
  <c r="O45" i="1"/>
  <c r="C15" i="1"/>
  <c r="O43" i="1"/>
  <c r="O48" i="1"/>
  <c r="O27" i="1"/>
  <c r="O37" i="1"/>
  <c r="O33" i="1"/>
  <c r="O29" i="1"/>
  <c r="O25" i="1"/>
  <c r="O21" i="1"/>
  <c r="O31" i="1"/>
  <c r="O40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<sst xmlns="http://schemas.openxmlformats.org/spreadsheetml/2006/main" count="344" uniqueCount="168">
  <si>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</si>
  <si>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</si>
  <si>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</si>
  <si>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</si>
  <si>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</si>
  <si>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</si>
  <si>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</si>
  <si>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</si>
  <si>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</si>
  <si>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</si>
  <si>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</si>
  <si>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</si>
  <si>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</si>
  <si>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</si>
  <si>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</si>
  <si>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</si>
  <si>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</si>
  <si>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</si>
  <si>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</si>
  <si>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</si>
  <si>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</si>
  <si>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</si>
  <si>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</si>
  <si>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</si>
  <si>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</si>
  <si>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</si>
  <si>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Misc</t>
  </si>
  <si>
    <t>IBVS 5493</t>
  </si>
  <si>
    <t>IBVS 5643</t>
  </si>
  <si>
    <t># of data points:</t>
  </si>
  <si>
    <t>V513 Cyg / GSC 03170-00931</t>
  </si>
  <si>
    <t>IBVS 5731</t>
  </si>
  <si>
    <t>I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</si>
  <si>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</si>
  <si>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</si>
  <si>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</si>
  <si>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</si>
  <si>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</si>
  <si>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</si>
  <si>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</si>
  <si>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</si>
  <si>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</si>
  <si>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</si>
  <si>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5040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</si>
  <si>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</si>
  <si>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</si>
  <si>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</si>
  <si>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</si>
  <si>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</si>
  <si>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</si>
  <si>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</si>
  <si>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</si>
  <si>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</si>
  <si>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</si>
  <si>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</si>
  <si>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</si>
  <si>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</si>
  <si>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2428245.58 </t>
  </si>
  <si>
    <t> 18.03.1936 01:55 </t>
  </si>
  <si>
    <t> 0.00 </t>
  </si>
  <si>
    <t>P </t>
  </si>
  <si>
    <t> C.Hoffmeister </t>
  </si>
  <si>
    <t> VSS 1.292 </t>
  </si>
  <si>
    <t>2428752.53 </t>
  </si>
  <si>
    <t> 07.08.1937 00:43 </t>
  </si>
  <si>
    <t> -0.02 </t>
  </si>
  <si>
    <t>2429014.49 </t>
  </si>
  <si>
    <t> 25.04.1938 23:45 </t>
  </si>
  <si>
    <t> -0.00 </t>
  </si>
  <si>
    <t>2429050.43 </t>
  </si>
  <si>
    <t> 31.05.1938 22:19 </t>
  </si>
  <si>
    <t> 0.03 </t>
  </si>
  <si>
    <t>2429107.46 </t>
  </si>
  <si>
    <t> 27.07.1938 23:02 </t>
  </si>
  <si>
    <t> 0.02 </t>
  </si>
  <si>
    <t>2429108.51 </t>
  </si>
  <si>
    <t> 29.07.1938 00:14 </t>
  </si>
  <si>
    <t>2429163.38 </t>
  </si>
  <si>
    <t> 21.09.1938 21:07 </t>
  </si>
  <si>
    <t> -0.03 </t>
  </si>
  <si>
    <t>2429217.25 </t>
  </si>
  <si>
    <t> 14.11.1938 18:00 </t>
  </si>
  <si>
    <t>2429464.45 </t>
  </si>
  <si>
    <t> 19.07.1939 22:48 </t>
  </si>
  <si>
    <t>2429631.30 </t>
  </si>
  <si>
    <t> 02.01.1940 19:12 </t>
  </si>
  <si>
    <t> -0.01 </t>
  </si>
  <si>
    <t>2429880.56 </t>
  </si>
  <si>
    <t> 08.09.1940 01:26 </t>
  </si>
  <si>
    <t>2430199.52 </t>
  </si>
  <si>
    <t> 24.07.1941 00:28 </t>
  </si>
  <si>
    <t>2430819.52 </t>
  </si>
  <si>
    <t> 05.04.1943 00:28 </t>
  </si>
  <si>
    <t>2431022.32 </t>
  </si>
  <si>
    <t> 24.10.1943 19:40 </t>
  </si>
  <si>
    <t>2448040.549 </t>
  </si>
  <si>
    <t> 29.05.1990 01:10 </t>
  </si>
  <si>
    <t> -0.256 </t>
  </si>
  <si>
    <t> Moschner&amp;Kleikamp </t>
  </si>
  <si>
    <t>BAVM 59 </t>
  </si>
  <si>
    <t>2448151.455 </t>
  </si>
  <si>
    <t> 16.09.1990 22:55 </t>
  </si>
  <si>
    <t> -0.251 </t>
  </si>
  <si>
    <t>2448187.374 </t>
  </si>
  <si>
    <t> 22.10.1990 20:58 </t>
  </si>
  <si>
    <t> -0.243 </t>
  </si>
  <si>
    <t>2448205.320 </t>
  </si>
  <si>
    <t> 09.11.1990 19:40 </t>
  </si>
  <si>
    <t> -0.252 </t>
  </si>
  <si>
    <t>2449259.3898 </t>
  </si>
  <si>
    <t> 28.09.1993 21:21 </t>
  </si>
  <si>
    <t> -0.2658 </t>
  </si>
  <si>
    <t>E </t>
  </si>
  <si>
    <t>o</t>
  </si>
  <si>
    <t> W.Moschner </t>
  </si>
  <si>
    <t>BAVM 68 </t>
  </si>
  <si>
    <t>2449279.4564 </t>
  </si>
  <si>
    <t> 18.10.1993 22:57 </t>
  </si>
  <si>
    <t> -0.2669 </t>
  </si>
  <si>
    <t>2450669.3898 </t>
  </si>
  <si>
    <t> 08.08.1997 21:21 </t>
  </si>
  <si>
    <t> -0.2875 </t>
  </si>
  <si>
    <t>BAVM 117 </t>
  </si>
  <si>
    <t>2451711.8397 </t>
  </si>
  <si>
    <t> 16.06.2000 08:09 </t>
  </si>
  <si>
    <t> -0.3030 </t>
  </si>
  <si>
    <t>?</t>
  </si>
  <si>
    <t> R.H.Nelson </t>
  </si>
  <si>
    <t>IBVS 5040 </t>
  </si>
  <si>
    <t>2452831.3947 </t>
  </si>
  <si>
    <t> 10.07.2003 21:28 </t>
  </si>
  <si>
    <t> 0.2123 </t>
  </si>
  <si>
    <t> Moschner&amp;Frank </t>
  </si>
  <si>
    <t>BAVM 172 </t>
  </si>
  <si>
    <t>2452866.7764 </t>
  </si>
  <si>
    <t> 15.08.2003 06:38 </t>
  </si>
  <si>
    <t> 0.2114 </t>
  </si>
  <si>
    <t>IBVS 5493 </t>
  </si>
  <si>
    <t>2453565.4433 </t>
  </si>
  <si>
    <t> 13.07.2005 22:38 </t>
  </si>
  <si>
    <t> 0.2047 </t>
  </si>
  <si>
    <t>C </t>
  </si>
  <si>
    <t> H.Jungbluth </t>
  </si>
  <si>
    <t>BAVM 178 </t>
  </si>
  <si>
    <t>2453657.3330 </t>
  </si>
  <si>
    <t> 13.10.2005 19:59 </t>
  </si>
  <si>
    <t> 0.2053 </t>
  </si>
  <si>
    <t> U.Schmidt </t>
  </si>
  <si>
    <t>2454262.5267 </t>
  </si>
  <si>
    <t> 11.06.2007 00:38 </t>
  </si>
  <si>
    <t> 0.1987 </t>
  </si>
  <si>
    <t>-I</t>
  </si>
  <si>
    <t> F.Agerer </t>
  </si>
  <si>
    <t>BAVM 186 </t>
  </si>
  <si>
    <t>2454317.4456 </t>
  </si>
  <si>
    <t> 04.08.2007 22:41 </t>
  </si>
  <si>
    <t>24684.5</t>
  </si>
  <si>
    <t> 0.1954 </t>
  </si>
  <si>
    <t> Moschner &amp; Frank </t>
  </si>
  <si>
    <t>BAVM 203 </t>
  </si>
  <si>
    <t>2455398.4536 </t>
  </si>
  <si>
    <t> 20.07.2010 22:53 </t>
  </si>
  <si>
    <t>25708</t>
  </si>
  <si>
    <t> 0.1868 </t>
  </si>
  <si>
    <t>BAVM 215 </t>
  </si>
  <si>
    <t>II</t>
  </si>
  <si>
    <t>IBVS 4711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</si>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</sst>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15" fillId="25" borderId="0" xfId="0" applyFont="1" applyFill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V513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16979027554388"/>
          <c:y val="0.14634168126798494"/>
          <c:w val="0.7463656937582776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28245.58</c:v>
                  </c:pt>
                  <c:pt idx="1">
                    <c:v>28752.53</c:v>
                  </c:pt>
                  <c:pt idx="2">
                    <c:v>29014.49</c:v>
                  </c:pt>
                  <c:pt idx="3">
                    <c:v>29050.43</c:v>
                  </c:pt>
                  <c:pt idx="4">
                    <c:v>29107.46</c:v>
                  </c:pt>
                  <c:pt idx="5">
                    <c:v>29108.51</c:v>
                  </c:pt>
                  <c:pt idx="6">
                    <c:v>29163.38</c:v>
                  </c:pt>
                  <c:pt idx="7">
                    <c:v>29217.25</c:v>
                  </c:pt>
                  <c:pt idx="8">
                    <c:v>29464.45</c:v>
                  </c:pt>
                  <c:pt idx="9">
                    <c:v>29631.3</c:v>
                  </c:pt>
                  <c:pt idx="10">
                    <c:v>29880.560000000001</c:v>
                  </c:pt>
                  <c:pt idx="11">
                    <c:v>30199.52</c:v>
                  </c:pt>
                  <c:pt idx="12">
                    <c:v>30819.52</c:v>
                  </c:pt>
                  <c:pt idx="13">
                    <c:v>31022.32</c:v>
                  </c:pt>
                  <c:pt idx="14">
                    <c:v>48040.548999999999</c:v>
                  </c:pt>
                  <c:pt idx="15">
                    <c:v>48151.455000000002</c:v>
                  </c:pt>
                  <c:pt idx="16">
                    <c:v>48187.374000000003</c:v>
                  </c:pt>
                  <c:pt idx="17">
                    <c:v>48205.32</c:v>
                  </c:pt>
                  <c:pt idx="18">
                    <c:v>49259.389799999997</c:v>
                  </c:pt>
                  <c:pt idx="19">
                    <c:v>49279.456400000003</c:v>
                  </c:pt>
                  <c:pt idx="20">
                    <c:v>50669.389799999997</c:v>
                  </c:pt>
                  <c:pt idx="21">
                    <c:v>51711.839740000003</c:v>
                  </c:pt>
                  <c:pt idx="22">
                    <c:v>52831.394699999997</c:v>
                  </c:pt>
                  <c:pt idx="23">
                    <c:v>52866.776400000002</c:v>
                  </c:pt>
                  <c:pt idx="24">
                    <c:v>53565.443299999999</c:v>
                  </c:pt>
                  <c:pt idx="25">
                    <c:v>53657.332999999999</c:v>
                  </c:pt>
                  <c:pt idx="26">
                    <c:v>54262.526700000002</c:v>
                  </c:pt>
                  <c:pt idx="27">
                    <c:v>54317.445599999999</c:v>
                  </c:pt>
                  <c:pt idx="28">
                    <c:v>55398.453600000001</c:v>
                  </c:pt>
                  <c:pt idx="29">
                    <c:v>57222.480060000002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28245.58</c:v>
                  </c:pt>
                  <c:pt idx="1">
                    <c:v>28752.53</c:v>
                  </c:pt>
                  <c:pt idx="2">
                    <c:v>29014.49</c:v>
                  </c:pt>
                  <c:pt idx="3">
                    <c:v>29050.43</c:v>
                  </c:pt>
                  <c:pt idx="4">
                    <c:v>29107.46</c:v>
                  </c:pt>
                  <c:pt idx="5">
                    <c:v>29108.51</c:v>
                  </c:pt>
                  <c:pt idx="6">
                    <c:v>29163.38</c:v>
                  </c:pt>
                  <c:pt idx="7">
                    <c:v>29217.25</c:v>
                  </c:pt>
                  <c:pt idx="8">
                    <c:v>29464.45</c:v>
                  </c:pt>
                  <c:pt idx="9">
                    <c:v>29631.3</c:v>
                  </c:pt>
                  <c:pt idx="10">
                    <c:v>29880.560000000001</c:v>
                  </c:pt>
                  <c:pt idx="11">
                    <c:v>30199.52</c:v>
                  </c:pt>
                  <c:pt idx="12">
                    <c:v>30819.52</c:v>
                  </c:pt>
                  <c:pt idx="13">
                    <c:v>31022.32</c:v>
                  </c:pt>
                  <c:pt idx="14">
                    <c:v>48040.548999999999</c:v>
                  </c:pt>
                  <c:pt idx="15">
                    <c:v>48151.455000000002</c:v>
                  </c:pt>
                  <c:pt idx="16">
                    <c:v>48187.374000000003</c:v>
                  </c:pt>
                  <c:pt idx="17">
                    <c:v>48205.32</c:v>
                  </c:pt>
                  <c:pt idx="18">
                    <c:v>49259.389799999997</c:v>
                  </c:pt>
                  <c:pt idx="19">
                    <c:v>49279.456400000003</c:v>
                  </c:pt>
                  <c:pt idx="20">
                    <c:v>50669.389799999997</c:v>
                  </c:pt>
                  <c:pt idx="21">
                    <c:v>51711.839740000003</c:v>
                  </c:pt>
                  <c:pt idx="22">
                    <c:v>52831.394699999997</c:v>
                  </c:pt>
                  <c:pt idx="23">
                    <c:v>52866.776400000002</c:v>
                  </c:pt>
                  <c:pt idx="24">
                    <c:v>53565.443299999999</c:v>
                  </c:pt>
                  <c:pt idx="25">
                    <c:v>53657.332999999999</c:v>
                  </c:pt>
                  <c:pt idx="26">
                    <c:v>54262.526700000002</c:v>
                  </c:pt>
                  <c:pt idx="27">
                    <c:v>54317.445599999999</c:v>
                  </c:pt>
                  <c:pt idx="28">
                    <c:v>55398.453600000001</c:v>
                  </c:pt>
                  <c:pt idx="29">
                    <c:v>57222.480060000002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8-4B03-8F3D-B8431DA393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1.6000000000000001E-4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3.5000000000000001E-3</c:v>
                  </c:pt>
                  <c:pt idx="26">
                    <c:v>1.6000000000000001E-3</c:v>
                  </c:pt>
                  <c:pt idx="27">
                    <c:v>0</c:v>
                  </c:pt>
                  <c:pt idx="28">
                    <c:v>6.1999999999999998E-3</c:v>
                  </c:pt>
                  <c:pt idx="29">
                    <c:v>1.6000000000000001E-3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1.6000000000000001E-4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3.5000000000000001E-3</c:v>
                  </c:pt>
                  <c:pt idx="26">
                    <c:v>1.6000000000000001E-3</c:v>
                  </c:pt>
                  <c:pt idx="27">
                    <c:v>0</c:v>
                  </c:pt>
                  <c:pt idx="28">
                    <c:v>6.1999999999999998E-3</c:v>
                  </c:pt>
                  <c:pt idx="2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0.28747600000133389</c:v>
                </c:pt>
                <c:pt idx="1">
                  <c:v>0.26339599999846541</c:v>
                </c:pt>
                <c:pt idx="2">
                  <c:v>0.28678800000125193</c:v>
                </c:pt>
                <c:pt idx="3">
                  <c:v>0.31612400000085472</c:v>
                </c:pt>
                <c:pt idx="4">
                  <c:v>0.31153999999878579</c:v>
                </c:pt>
                <c:pt idx="5">
                  <c:v>0.30534400000033202</c:v>
                </c:pt>
                <c:pt idx="6">
                  <c:v>0.25315200000113691</c:v>
                </c:pt>
                <c:pt idx="7">
                  <c:v>0.25715599999966798</c:v>
                </c:pt>
                <c:pt idx="8">
                  <c:v>0.3072920000013255</c:v>
                </c:pt>
                <c:pt idx="9">
                  <c:v>0.27832399999897461</c:v>
                </c:pt>
                <c:pt idx="10">
                  <c:v>0.27606800000285148</c:v>
                </c:pt>
                <c:pt idx="11">
                  <c:v>0.26487600000109524</c:v>
                </c:pt>
                <c:pt idx="12">
                  <c:v>0.27782400000069174</c:v>
                </c:pt>
                <c:pt idx="13">
                  <c:v>0.28819199999998091</c:v>
                </c:pt>
                <c:pt idx="14">
                  <c:v>3.104400000302121E-2</c:v>
                </c:pt>
                <c:pt idx="15">
                  <c:v>3.6464000004343688E-2</c:v>
                </c:pt>
                <c:pt idx="16">
                  <c:v>4.4800000003306195E-2</c:v>
                </c:pt>
                <c:pt idx="17">
                  <c:v>3.5468000001856126E-2</c:v>
                </c:pt>
                <c:pt idx="27">
                  <c:v>-4.5183999995060731E-2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8-4B03-8F3D-B8431DA393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22">
                  <c:v>-2.8312000002188142E-2</c:v>
                </c:pt>
                <c:pt idx="24">
                  <c:v>-3.5931999998865649E-2</c:v>
                </c:pt>
                <c:pt idx="25">
                  <c:v>-3.5283999997773208E-2</c:v>
                </c:pt>
                <c:pt idx="26">
                  <c:v>-4.1891999993822537E-2</c:v>
                </c:pt>
                <c:pt idx="28">
                  <c:v>-5.37899999981164E-2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8-4B03-8F3D-B8431DA393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8">
                  <c:v>2.1659999998519197E-2</c:v>
                </c:pt>
                <c:pt idx="19">
                  <c:v>2.0536000003630761E-2</c:v>
                </c:pt>
                <c:pt idx="21">
                  <c:v>-1.551199999084929E-2</c:v>
                </c:pt>
                <c:pt idx="23">
                  <c:v>-2.9177999997045845E-2</c:v>
                </c:pt>
                <c:pt idx="29">
                  <c:v>-7.7821999992011115E-2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48-4B03-8F3D-B8431DA393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48-4B03-8F3D-B8431DA393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48-4B03-8F3D-B8431DA393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48-4B03-8F3D-B8431DA393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0.24403769381924778</c:v>
                </c:pt>
                <c:pt idx="1">
                  <c:v>0.23843612649884466</c:v>
                </c:pt>
                <c:pt idx="2">
                  <c:v>0.23554198338330307</c:v>
                </c:pt>
                <c:pt idx="3">
                  <c:v>0.23514520569810785</c:v>
                </c:pt>
                <c:pt idx="4">
                  <c:v>0.23451502937456248</c:v>
                </c:pt>
                <c:pt idx="5">
                  <c:v>0.234503359442645</c:v>
                </c:pt>
                <c:pt idx="6">
                  <c:v>0.23389652298293465</c:v>
                </c:pt>
                <c:pt idx="7">
                  <c:v>0.23330135645514183</c:v>
                </c:pt>
                <c:pt idx="8">
                  <c:v>0.23057059238644531</c:v>
                </c:pt>
                <c:pt idx="9">
                  <c:v>0.22872674314347929</c:v>
                </c:pt>
                <c:pt idx="10">
                  <c:v>0.22597263921094776</c:v>
                </c:pt>
                <c:pt idx="11">
                  <c:v>0.2224483197718608</c:v>
                </c:pt>
                <c:pt idx="12">
                  <c:v>0.21559806973628451</c:v>
                </c:pt>
                <c:pt idx="13">
                  <c:v>0.21335744280812327</c:v>
                </c:pt>
                <c:pt idx="14">
                  <c:v>2.5319829821341493E-2</c:v>
                </c:pt>
                <c:pt idx="15">
                  <c:v>2.4094486970003312E-2</c:v>
                </c:pt>
                <c:pt idx="16">
                  <c:v>2.3697709284808095E-2</c:v>
                </c:pt>
                <c:pt idx="17">
                  <c:v>2.3499320442210484E-2</c:v>
                </c:pt>
                <c:pt idx="18">
                  <c:v>1.1852728388539025E-2</c:v>
                </c:pt>
                <c:pt idx="19">
                  <c:v>1.1630999682106402E-2</c:v>
                </c:pt>
                <c:pt idx="20">
                  <c:v>-3.7266307213321137E-3</c:v>
                </c:pt>
                <c:pt idx="21">
                  <c:v>-1.5244853523911001E-2</c:v>
                </c:pt>
                <c:pt idx="22">
                  <c:v>-2.7614981356467859E-2</c:v>
                </c:pt>
                <c:pt idx="23">
                  <c:v>-2.8005924075704326E-2</c:v>
                </c:pt>
                <c:pt idx="24">
                  <c:v>-3.572558403913486E-2</c:v>
                </c:pt>
                <c:pt idx="25">
                  <c:v>-3.674086811595792E-2</c:v>
                </c:pt>
                <c:pt idx="26">
                  <c:v>-4.3427739104689125E-2</c:v>
                </c:pt>
                <c:pt idx="27">
                  <c:v>-4.4034575564399464E-2</c:v>
                </c:pt>
                <c:pt idx="28">
                  <c:v>-5.597875088196734E-2</c:v>
                </c:pt>
                <c:pt idx="29">
                  <c:v>-7.6132723303501015E-2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48-4B03-8F3D-B8431DA3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556552"/>
        <c:axId val="1"/>
      </c:scatterChart>
      <c:valAx>
        <c:axId val="77955655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3510742498060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55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71099351676356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V513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28245.58</c:v>
                  </c:pt>
                  <c:pt idx="1">
                    <c:v>28752.53</c:v>
                  </c:pt>
                  <c:pt idx="2">
                    <c:v>29014.49</c:v>
                  </c:pt>
                  <c:pt idx="3">
                    <c:v>29050.43</c:v>
                  </c:pt>
                  <c:pt idx="4">
                    <c:v>29107.46</c:v>
                  </c:pt>
                  <c:pt idx="5">
                    <c:v>29108.51</c:v>
                  </c:pt>
                  <c:pt idx="6">
                    <c:v>29163.38</c:v>
                  </c:pt>
                  <c:pt idx="7">
                    <c:v>29217.25</c:v>
                  </c:pt>
                  <c:pt idx="8">
                    <c:v>29464.45</c:v>
                  </c:pt>
                  <c:pt idx="9">
                    <c:v>29631.3</c:v>
                  </c:pt>
                  <c:pt idx="10">
                    <c:v>29880.560000000001</c:v>
                  </c:pt>
                  <c:pt idx="11">
                    <c:v>30199.52</c:v>
                  </c:pt>
                  <c:pt idx="12">
                    <c:v>30819.52</c:v>
                  </c:pt>
                  <c:pt idx="13">
                    <c:v>31022.32</c:v>
                  </c:pt>
                  <c:pt idx="14">
                    <c:v>48040.548999999999</c:v>
                  </c:pt>
                  <c:pt idx="15">
                    <c:v>48151.455000000002</c:v>
                  </c:pt>
                  <c:pt idx="16">
                    <c:v>48187.374000000003</c:v>
                  </c:pt>
                  <c:pt idx="17">
                    <c:v>48205.32</c:v>
                  </c:pt>
                  <c:pt idx="18">
                    <c:v>49259.389799999997</c:v>
                  </c:pt>
                  <c:pt idx="19">
                    <c:v>49279.456400000003</c:v>
                  </c:pt>
                  <c:pt idx="20">
                    <c:v>50669.389799999997</c:v>
                  </c:pt>
                  <c:pt idx="21">
                    <c:v>51711.839740000003</c:v>
                  </c:pt>
                  <c:pt idx="22">
                    <c:v>52831.394699999997</c:v>
                  </c:pt>
                  <c:pt idx="23">
                    <c:v>52866.776400000002</c:v>
                  </c:pt>
                  <c:pt idx="24">
                    <c:v>53565.443299999999</c:v>
                  </c:pt>
                  <c:pt idx="25">
                    <c:v>53657.332999999999</c:v>
                  </c:pt>
                  <c:pt idx="26">
                    <c:v>54262.526700000002</c:v>
                  </c:pt>
                  <c:pt idx="27">
                    <c:v>54317.445599999999</c:v>
                  </c:pt>
                  <c:pt idx="28">
                    <c:v>55398.453600000001</c:v>
                  </c:pt>
                  <c:pt idx="29">
                    <c:v>57222.480060000002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28245.58</c:v>
                  </c:pt>
                  <c:pt idx="1">
                    <c:v>28752.53</c:v>
                  </c:pt>
                  <c:pt idx="2">
                    <c:v>29014.49</c:v>
                  </c:pt>
                  <c:pt idx="3">
                    <c:v>29050.43</c:v>
                  </c:pt>
                  <c:pt idx="4">
                    <c:v>29107.46</c:v>
                  </c:pt>
                  <c:pt idx="5">
                    <c:v>29108.51</c:v>
                  </c:pt>
                  <c:pt idx="6">
                    <c:v>29163.38</c:v>
                  </c:pt>
                  <c:pt idx="7">
                    <c:v>29217.25</c:v>
                  </c:pt>
                  <c:pt idx="8">
                    <c:v>29464.45</c:v>
                  </c:pt>
                  <c:pt idx="9">
                    <c:v>29631.3</c:v>
                  </c:pt>
                  <c:pt idx="10">
                    <c:v>29880.560000000001</c:v>
                  </c:pt>
                  <c:pt idx="11">
                    <c:v>30199.52</c:v>
                  </c:pt>
                  <c:pt idx="12">
                    <c:v>30819.52</c:v>
                  </c:pt>
                  <c:pt idx="13">
                    <c:v>31022.32</c:v>
                  </c:pt>
                  <c:pt idx="14">
                    <c:v>48040.548999999999</c:v>
                  </c:pt>
                  <c:pt idx="15">
                    <c:v>48151.455000000002</c:v>
                  </c:pt>
                  <c:pt idx="16">
                    <c:v>48187.374000000003</c:v>
                  </c:pt>
                  <c:pt idx="17">
                    <c:v>48205.32</c:v>
                  </c:pt>
                  <c:pt idx="18">
                    <c:v>49259.389799999997</c:v>
                  </c:pt>
                  <c:pt idx="19">
                    <c:v>49279.456400000003</c:v>
                  </c:pt>
                  <c:pt idx="20">
                    <c:v>50669.389799999997</c:v>
                  </c:pt>
                  <c:pt idx="21">
                    <c:v>51711.839740000003</c:v>
                  </c:pt>
                  <c:pt idx="22">
                    <c:v>52831.394699999997</c:v>
                  </c:pt>
                  <c:pt idx="23">
                    <c:v>52866.776400000002</c:v>
                  </c:pt>
                  <c:pt idx="24">
                    <c:v>53565.443299999999</c:v>
                  </c:pt>
                  <c:pt idx="25">
                    <c:v>53657.332999999999</c:v>
                  </c:pt>
                  <c:pt idx="26">
                    <c:v>54262.526700000002</c:v>
                  </c:pt>
                  <c:pt idx="27">
                    <c:v>54317.445599999999</c:v>
                  </c:pt>
                  <c:pt idx="28">
                    <c:v>55398.453600000001</c:v>
                  </c:pt>
                  <c:pt idx="29">
                    <c:v>57222.480060000002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D-45C9-AED6-02510EEEE1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1.6000000000000001E-4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3.5000000000000001E-3</c:v>
                  </c:pt>
                  <c:pt idx="26">
                    <c:v>1.6000000000000001E-3</c:v>
                  </c:pt>
                  <c:pt idx="27">
                    <c:v>0</c:v>
                  </c:pt>
                  <c:pt idx="28">
                    <c:v>6.1999999999999998E-3</c:v>
                  </c:pt>
                  <c:pt idx="29">
                    <c:v>1.6000000000000001E-3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1.6000000000000001E-4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3.5000000000000001E-3</c:v>
                  </c:pt>
                  <c:pt idx="26">
                    <c:v>1.6000000000000001E-3</c:v>
                  </c:pt>
                  <c:pt idx="27">
                    <c:v>0</c:v>
                  </c:pt>
                  <c:pt idx="28">
                    <c:v>6.1999999999999998E-3</c:v>
                  </c:pt>
                  <c:pt idx="2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0.28747600000133389</c:v>
                </c:pt>
                <c:pt idx="1">
                  <c:v>0.26339599999846541</c:v>
                </c:pt>
                <c:pt idx="2">
                  <c:v>0.28678800000125193</c:v>
                </c:pt>
                <c:pt idx="3">
                  <c:v>0.31612400000085472</c:v>
                </c:pt>
                <c:pt idx="4">
                  <c:v>0.31153999999878579</c:v>
                </c:pt>
                <c:pt idx="5">
                  <c:v>0.30534400000033202</c:v>
                </c:pt>
                <c:pt idx="6">
                  <c:v>0.25315200000113691</c:v>
                </c:pt>
                <c:pt idx="7">
                  <c:v>0.25715599999966798</c:v>
                </c:pt>
                <c:pt idx="8">
                  <c:v>0.3072920000013255</c:v>
                </c:pt>
                <c:pt idx="9">
                  <c:v>0.27832399999897461</c:v>
                </c:pt>
                <c:pt idx="10">
                  <c:v>0.27606800000285148</c:v>
                </c:pt>
                <c:pt idx="11">
                  <c:v>0.26487600000109524</c:v>
                </c:pt>
                <c:pt idx="12">
                  <c:v>0.27782400000069174</c:v>
                </c:pt>
                <c:pt idx="13">
                  <c:v>0.28819199999998091</c:v>
                </c:pt>
                <c:pt idx="14">
                  <c:v>3.104400000302121E-2</c:v>
                </c:pt>
                <c:pt idx="15">
                  <c:v>3.6464000004343688E-2</c:v>
                </c:pt>
                <c:pt idx="16">
                  <c:v>4.4800000003306195E-2</c:v>
                </c:pt>
                <c:pt idx="17">
                  <c:v>3.5468000001856126E-2</c:v>
                </c:pt>
                <c:pt idx="27">
                  <c:v>-4.5183999995060731E-2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1D-45C9-AED6-02510EEEE1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22">
                  <c:v>-2.8312000002188142E-2</c:v>
                </c:pt>
                <c:pt idx="24">
                  <c:v>-3.5931999998865649E-2</c:v>
                </c:pt>
                <c:pt idx="25">
                  <c:v>-3.5283999997773208E-2</c:v>
                </c:pt>
                <c:pt idx="26">
                  <c:v>-4.1891999993822537E-2</c:v>
                </c:pt>
                <c:pt idx="28">
                  <c:v>-5.37899999981164E-2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1D-45C9-AED6-02510EEEE1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8">
                  <c:v>2.1659999998519197E-2</c:v>
                </c:pt>
                <c:pt idx="19">
                  <c:v>2.0536000003630761E-2</c:v>
                </c:pt>
                <c:pt idx="21">
                  <c:v>-1.551199999084929E-2</c:v>
                </c:pt>
                <c:pt idx="23">
                  <c:v>-2.9177999997045845E-2</c:v>
                </c:pt>
                <c:pt idx="29">
                  <c:v>-7.7821999992011115E-2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1D-45C9-AED6-02510EEEE1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1D-45C9-AED6-02510EEEE1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1D-45C9-AED6-02510EEEE1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1D-45C9-AED6-02510EEEE1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-21231</c:v>
                </c:pt>
                <c:pt idx="1">
                  <c:v>-20751</c:v>
                </c:pt>
                <c:pt idx="2">
                  <c:v>-20503</c:v>
                </c:pt>
                <c:pt idx="3">
                  <c:v>-20469</c:v>
                </c:pt>
                <c:pt idx="4">
                  <c:v>-20415</c:v>
                </c:pt>
                <c:pt idx="5">
                  <c:v>-20414</c:v>
                </c:pt>
                <c:pt idx="6">
                  <c:v>-20362</c:v>
                </c:pt>
                <c:pt idx="7">
                  <c:v>-20311</c:v>
                </c:pt>
                <c:pt idx="8">
                  <c:v>-20077</c:v>
                </c:pt>
                <c:pt idx="9">
                  <c:v>-19919</c:v>
                </c:pt>
                <c:pt idx="10">
                  <c:v>-19683</c:v>
                </c:pt>
                <c:pt idx="11">
                  <c:v>-19381</c:v>
                </c:pt>
                <c:pt idx="12">
                  <c:v>-18794</c:v>
                </c:pt>
                <c:pt idx="13">
                  <c:v>-18602</c:v>
                </c:pt>
                <c:pt idx="14">
                  <c:v>-2489</c:v>
                </c:pt>
                <c:pt idx="15">
                  <c:v>-2384</c:v>
                </c:pt>
                <c:pt idx="16">
                  <c:v>-2350</c:v>
                </c:pt>
                <c:pt idx="17">
                  <c:v>-2333</c:v>
                </c:pt>
                <c:pt idx="18">
                  <c:v>-1335</c:v>
                </c:pt>
                <c:pt idx="19">
                  <c:v>-1316</c:v>
                </c:pt>
                <c:pt idx="20">
                  <c:v>0</c:v>
                </c:pt>
                <c:pt idx="21">
                  <c:v>987</c:v>
                </c:pt>
                <c:pt idx="22">
                  <c:v>2047</c:v>
                </c:pt>
                <c:pt idx="23">
                  <c:v>2080.5</c:v>
                </c:pt>
                <c:pt idx="24">
                  <c:v>2742</c:v>
                </c:pt>
                <c:pt idx="25">
                  <c:v>2829</c:v>
                </c:pt>
                <c:pt idx="26">
                  <c:v>3402</c:v>
                </c:pt>
                <c:pt idx="27">
                  <c:v>3454</c:v>
                </c:pt>
                <c:pt idx="28">
                  <c:v>4477.5</c:v>
                </c:pt>
                <c:pt idx="29">
                  <c:v>6204.5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0.24403769381924778</c:v>
                </c:pt>
                <c:pt idx="1">
                  <c:v>0.23843612649884466</c:v>
                </c:pt>
                <c:pt idx="2">
                  <c:v>0.23554198338330307</c:v>
                </c:pt>
                <c:pt idx="3">
                  <c:v>0.23514520569810785</c:v>
                </c:pt>
                <c:pt idx="4">
                  <c:v>0.23451502937456248</c:v>
                </c:pt>
                <c:pt idx="5">
                  <c:v>0.234503359442645</c:v>
                </c:pt>
                <c:pt idx="6">
                  <c:v>0.23389652298293465</c:v>
                </c:pt>
                <c:pt idx="7">
                  <c:v>0.23330135645514183</c:v>
                </c:pt>
                <c:pt idx="8">
                  <c:v>0.23057059238644531</c:v>
                </c:pt>
                <c:pt idx="9">
                  <c:v>0.22872674314347929</c:v>
                </c:pt>
                <c:pt idx="10">
                  <c:v>0.22597263921094776</c:v>
                </c:pt>
                <c:pt idx="11">
                  <c:v>0.2224483197718608</c:v>
                </c:pt>
                <c:pt idx="12">
                  <c:v>0.21559806973628451</c:v>
                </c:pt>
                <c:pt idx="13">
                  <c:v>0.21335744280812327</c:v>
                </c:pt>
                <c:pt idx="14">
                  <c:v>2.5319829821341493E-2</c:v>
                </c:pt>
                <c:pt idx="15">
                  <c:v>2.4094486970003312E-2</c:v>
                </c:pt>
                <c:pt idx="16">
                  <c:v>2.3697709284808095E-2</c:v>
                </c:pt>
                <c:pt idx="17">
                  <c:v>2.3499320442210484E-2</c:v>
                </c:pt>
                <c:pt idx="18">
                  <c:v>1.1852728388539025E-2</c:v>
                </c:pt>
                <c:pt idx="19">
                  <c:v>1.1630999682106402E-2</c:v>
                </c:pt>
                <c:pt idx="20">
                  <c:v>-3.7266307213321137E-3</c:v>
                </c:pt>
                <c:pt idx="21">
                  <c:v>-1.5244853523911001E-2</c:v>
                </c:pt>
                <c:pt idx="22">
                  <c:v>-2.7614981356467859E-2</c:v>
                </c:pt>
                <c:pt idx="23">
                  <c:v>-2.8005924075704326E-2</c:v>
                </c:pt>
                <c:pt idx="24">
                  <c:v>-3.572558403913486E-2</c:v>
                </c:pt>
                <c:pt idx="25">
                  <c:v>-3.674086811595792E-2</c:v>
                </c:pt>
                <c:pt idx="26">
                  <c:v>-4.3427739104689125E-2</c:v>
                </c:pt>
                <c:pt idx="27">
                  <c:v>-4.4034575564399464E-2</c:v>
                </c:pt>
                <c:pt idx="28">
                  <c:v>-5.597875088196734E-2</c:v>
                </c:pt>
                <c:pt idx="29">
                  <c:v>-7.6132723303501015E-2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1D-45C9-AED6-02510EEE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183824"/>
        <c:axId val="1"/>
      </c:scatterChart>
      <c:valAx>
        <c:axId val="8891838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8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1290322580644"/>
          <c:y val="0.92097264437689974"/>
          <c:w val="0.674193548387096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352425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6A13D2-C25A-9F39-297B-55F2D935F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26</xdr:col>
      <xdr:colOff>638175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533CA2F-81DF-7077-D921-BDD32A92B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40" TargetMode="External"/><Relationship Id="rId13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bav-astro.de/sfs/BAVM_link.php?BAVMnr=59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5493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22</v>
      </c>
      <c r="B2" s="7" t="s">
        <v>25</v>
      </c>
    </row>
    <row r="3" spans="1:6" ht="13.5" thickBot="1"/>
    <row r="4" spans="1:6" ht="14.25" thickTop="1" thickBot="1">
      <c r="A4" s="4" t="s">
        <v>0</v>
      </c>
      <c r="C4" s="8">
        <v>50669.389799999997</v>
      </c>
      <c r="D4" s="9">
        <v>1.0561959999999999</v>
      </c>
    </row>
    <row r="5" spans="1:6" ht="13.5" thickTop="1">
      <c r="A5" s="17" t="s">
        <v>33</v>
      </c>
      <c r="B5" s="12"/>
      <c r="C5" s="18">
        <v>-9.5</v>
      </c>
      <c r="D5" s="12" t="s">
        <v>34</v>
      </c>
    </row>
    <row r="6" spans="1:6">
      <c r="A6" s="4" t="s">
        <v>1</v>
      </c>
    </row>
    <row r="7" spans="1:6">
      <c r="A7" t="s">
        <v>2</v>
      </c>
      <c r="C7">
        <f>+C4</f>
        <v>50669.389799999997</v>
      </c>
    </row>
    <row r="8" spans="1:6">
      <c r="A8" t="s">
        <v>3</v>
      </c>
      <c r="C8">
        <f>+D4</f>
        <v>1.0561959999999999</v>
      </c>
    </row>
    <row r="9" spans="1:6">
      <c r="A9" s="32" t="s">
        <v>42</v>
      </c>
      <c r="B9" s="33">
        <v>41</v>
      </c>
      <c r="C9" s="31" t="str">
        <f>"F"&amp;B9</f>
        <v>F41</v>
      </c>
      <c r="D9" s="14" t="str">
        <f>"G"&amp;B9</f>
        <v>G41</v>
      </c>
    </row>
    <row r="10" spans="1:6" ht="13.5" thickBot="1">
      <c r="A10" s="12"/>
      <c r="B10" s="12"/>
      <c r="C10" s="3" t="s">
        <v>18</v>
      </c>
      <c r="D10" s="3" t="s">
        <v>19</v>
      </c>
      <c r="E10" s="12"/>
    </row>
    <row r="11" spans="1:6">
      <c r="A11" s="12" t="s">
        <v>14</v>
      </c>
      <c r="B11" s="12"/>
      <c r="C11" s="30">
        <f ca="1">INTERCEPT(INDIRECT($D$9):G991,INDIRECT($C$9):F991)</f>
        <v>-3.7266307213321137E-3</v>
      </c>
      <c r="D11" s="15"/>
      <c r="E11" s="12"/>
    </row>
    <row r="12" spans="1:6">
      <c r="A12" s="12" t="s">
        <v>15</v>
      </c>
      <c r="B12" s="12"/>
      <c r="C12" s="30">
        <f ca="1">SLOPE(INDIRECT($D$9):G991,INDIRECT($C$9):F991)</f>
        <v>-1.1669931917506471E-5</v>
      </c>
      <c r="D12" s="15"/>
      <c r="E12" s="12"/>
    </row>
    <row r="13" spans="1:6">
      <c r="A13" s="12" t="s">
        <v>17</v>
      </c>
      <c r="B13" s="12"/>
      <c r="C13" s="15" t="s">
        <v>35</v>
      </c>
    </row>
    <row r="14" spans="1:6">
      <c r="A14" s="12"/>
      <c r="B14" s="12"/>
      <c r="C14" s="12"/>
    </row>
    <row r="15" spans="1:6">
      <c r="A15" s="19" t="s">
        <v>16</v>
      </c>
      <c r="B15" s="12"/>
      <c r="C15" s="20">
        <f ca="1">(C7+C11)+(C8+C12)*INT(MAX(F21:F3532))</f>
        <v>57221.953657111662</v>
      </c>
      <c r="E15" s="21" t="s">
        <v>40</v>
      </c>
      <c r="F15" s="18">
        <v>1</v>
      </c>
    </row>
    <row r="16" spans="1:6">
      <c r="A16" s="23" t="s">
        <v>4</v>
      </c>
      <c r="B16" s="12"/>
      <c r="C16" s="24">
        <f ca="1">+C8+C12</f>
        <v>1.0561843300680824</v>
      </c>
      <c r="E16" s="21" t="s">
        <v>36</v>
      </c>
      <c r="F16" s="22">
        <f ca="1">NOW()+15018.5+$C$5/24</f>
        <v>60340.712129976848</v>
      </c>
    </row>
    <row r="17" spans="1:17" ht="13.5" thickBot="1">
      <c r="A17" s="21" t="s">
        <v>29</v>
      </c>
      <c r="B17" s="12"/>
      <c r="C17" s="12">
        <f>COUNT(C21:C2190)</f>
        <v>30</v>
      </c>
      <c r="E17" s="21" t="s">
        <v>41</v>
      </c>
      <c r="F17" s="22">
        <f ca="1">ROUND(2*(F16-$C$7)/$C$8,0)/2+F15</f>
        <v>9157.5</v>
      </c>
    </row>
    <row r="18" spans="1:17" ht="14.25" thickTop="1" thickBot="1">
      <c r="A18" s="23" t="s">
        <v>5</v>
      </c>
      <c r="B18" s="12"/>
      <c r="C18" s="26">
        <f ca="1">+C15</f>
        <v>57221.953657111662</v>
      </c>
      <c r="D18" s="27">
        <f ca="1">+C16</f>
        <v>1.0561843300680824</v>
      </c>
      <c r="E18" s="21" t="s">
        <v>37</v>
      </c>
      <c r="F18" s="14">
        <f ca="1">ROUND(2*(F16-$C$15)/$C$16,0)/2+F15</f>
        <v>2954</v>
      </c>
    </row>
    <row r="19" spans="1:17" ht="13.5" thickTop="1">
      <c r="E19" s="21" t="s">
        <v>38</v>
      </c>
      <c r="F19" s="25">
        <f ca="1">+$C$15+$C$16*F18-15018.5-$C$5/24</f>
        <v>45323.818001466112</v>
      </c>
    </row>
    <row r="20" spans="1:17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51" t="s">
        <v>11</v>
      </c>
      <c r="H20" s="6" t="s">
        <v>52</v>
      </c>
      <c r="I20" s="6" t="s">
        <v>55</v>
      </c>
      <c r="J20" s="6" t="s">
        <v>49</v>
      </c>
      <c r="K20" s="6" t="s">
        <v>47</v>
      </c>
      <c r="L20" s="6" t="s">
        <v>23</v>
      </c>
      <c r="M20" s="6" t="s">
        <v>24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>
      <c r="A21" s="49" t="s">
        <v>62</v>
      </c>
      <c r="B21" s="50" t="s">
        <v>32</v>
      </c>
      <c r="C21" s="49">
        <v>28245.58</v>
      </c>
      <c r="D21" s="49" t="s">
        <v>55</v>
      </c>
      <c r="E21">
        <f t="shared" ref="E21:E49" si="0">+(C21-C$7)/C$8</f>
        <v>-21230.727819457748</v>
      </c>
      <c r="F21" s="52">
        <f>ROUND(2*E21,0)/2-0.5</f>
        <v>-21231</v>
      </c>
      <c r="G21" s="13">
        <f t="shared" ref="G21:G40" si="1">+C21-(C$7+F21*C$8)</f>
        <v>0.28747600000133389</v>
      </c>
      <c r="I21">
        <f t="shared" ref="I21:I38" si="2">+G21</f>
        <v>0.28747600000133389</v>
      </c>
      <c r="O21">
        <f t="shared" ref="O21:O49" ca="1" si="3">+C$11+C$12*$F21</f>
        <v>0.24403769381924778</v>
      </c>
      <c r="Q21" s="2">
        <f t="shared" ref="Q21:Q49" si="4">+C21-15018.5</f>
        <v>13227.080000000002</v>
      </c>
    </row>
    <row r="22" spans="1:17">
      <c r="A22" s="49" t="s">
        <v>62</v>
      </c>
      <c r="B22" s="50" t="s">
        <v>32</v>
      </c>
      <c r="C22" s="49">
        <v>28752.53</v>
      </c>
      <c r="D22" s="49" t="s">
        <v>55</v>
      </c>
      <c r="E22">
        <f t="shared" si="0"/>
        <v>-20750.750618256461</v>
      </c>
      <c r="F22">
        <f>ROUND(2*E22,0)/2</f>
        <v>-20751</v>
      </c>
      <c r="G22" s="13">
        <f t="shared" si="1"/>
        <v>0.26339599999846541</v>
      </c>
      <c r="I22">
        <f t="shared" si="2"/>
        <v>0.26339599999846541</v>
      </c>
      <c r="O22">
        <f t="shared" ca="1" si="3"/>
        <v>0.23843612649884466</v>
      </c>
      <c r="Q22" s="2">
        <f t="shared" si="4"/>
        <v>13734.029999999999</v>
      </c>
    </row>
    <row r="23" spans="1:17">
      <c r="A23" s="49" t="s">
        <v>62</v>
      </c>
      <c r="B23" s="50" t="s">
        <v>32</v>
      </c>
      <c r="C23" s="49">
        <v>29014.49</v>
      </c>
      <c r="D23" s="49" t="s">
        <v>55</v>
      </c>
      <c r="E23">
        <f t="shared" si="0"/>
        <v>-20502.728470851998</v>
      </c>
      <c r="F23" s="52">
        <f>ROUND(2*E23,0)/2-0.5</f>
        <v>-20503</v>
      </c>
      <c r="G23" s="13">
        <f t="shared" si="1"/>
        <v>0.28678800000125193</v>
      </c>
      <c r="I23">
        <f t="shared" si="2"/>
        <v>0.28678800000125193</v>
      </c>
      <c r="O23">
        <f t="shared" ca="1" si="3"/>
        <v>0.23554198338330307</v>
      </c>
      <c r="Q23" s="2">
        <f t="shared" si="4"/>
        <v>13995.990000000002</v>
      </c>
    </row>
    <row r="24" spans="1:17">
      <c r="A24" s="49" t="s">
        <v>62</v>
      </c>
      <c r="B24" s="50" t="s">
        <v>32</v>
      </c>
      <c r="C24" s="49">
        <v>29050.43</v>
      </c>
      <c r="D24" s="49" t="s">
        <v>55</v>
      </c>
      <c r="E24">
        <f t="shared" si="0"/>
        <v>-20468.700695704207</v>
      </c>
      <c r="F24" s="52">
        <f>ROUND(2*E24,0)/2-0.5</f>
        <v>-20469</v>
      </c>
      <c r="G24" s="13">
        <f t="shared" si="1"/>
        <v>0.31612400000085472</v>
      </c>
      <c r="I24">
        <f t="shared" si="2"/>
        <v>0.31612400000085472</v>
      </c>
      <c r="O24">
        <f t="shared" ca="1" si="3"/>
        <v>0.23514520569810785</v>
      </c>
      <c r="Q24" s="2">
        <f t="shared" si="4"/>
        <v>14031.93</v>
      </c>
    </row>
    <row r="25" spans="1:17">
      <c r="A25" s="49" t="s">
        <v>62</v>
      </c>
      <c r="B25" s="50" t="s">
        <v>32</v>
      </c>
      <c r="C25" s="49">
        <v>29107.46</v>
      </c>
      <c r="D25" s="49" t="s">
        <v>55</v>
      </c>
      <c r="E25">
        <f t="shared" si="0"/>
        <v>-20414.705035807747</v>
      </c>
      <c r="F25" s="52">
        <f>ROUND(2*E25,0)/2-0.5</f>
        <v>-20415</v>
      </c>
      <c r="G25" s="13">
        <f t="shared" si="1"/>
        <v>0.31153999999878579</v>
      </c>
      <c r="I25">
        <f t="shared" si="2"/>
        <v>0.31153999999878579</v>
      </c>
      <c r="O25">
        <f t="shared" ca="1" si="3"/>
        <v>0.23451502937456248</v>
      </c>
      <c r="Q25" s="2">
        <f t="shared" si="4"/>
        <v>14088.96</v>
      </c>
    </row>
    <row r="26" spans="1:17">
      <c r="A26" s="49" t="s">
        <v>62</v>
      </c>
      <c r="B26" s="50" t="s">
        <v>32</v>
      </c>
      <c r="C26" s="49">
        <v>29108.51</v>
      </c>
      <c r="D26" s="49" t="s">
        <v>55</v>
      </c>
      <c r="E26">
        <f t="shared" si="0"/>
        <v>-20413.710902143164</v>
      </c>
      <c r="F26" s="52">
        <f>ROUND(2*E26,0)/2-0.5</f>
        <v>-20414</v>
      </c>
      <c r="G26" s="13">
        <f t="shared" si="1"/>
        <v>0.30534400000033202</v>
      </c>
      <c r="I26">
        <f t="shared" si="2"/>
        <v>0.30534400000033202</v>
      </c>
      <c r="O26">
        <f t="shared" ca="1" si="3"/>
        <v>0.234503359442645</v>
      </c>
      <c r="Q26" s="2">
        <f t="shared" si="4"/>
        <v>14090.009999999998</v>
      </c>
    </row>
    <row r="27" spans="1:17">
      <c r="A27" s="49" t="s">
        <v>62</v>
      </c>
      <c r="B27" s="50" t="s">
        <v>32</v>
      </c>
      <c r="C27" s="49">
        <v>29163.38</v>
      </c>
      <c r="D27" s="49" t="s">
        <v>55</v>
      </c>
      <c r="E27">
        <f t="shared" si="0"/>
        <v>-20361.760317213848</v>
      </c>
      <c r="F27">
        <f>ROUND(2*E27,0)/2</f>
        <v>-20362</v>
      </c>
      <c r="G27" s="13">
        <f t="shared" si="1"/>
        <v>0.25315200000113691</v>
      </c>
      <c r="I27">
        <f t="shared" si="2"/>
        <v>0.25315200000113691</v>
      </c>
      <c r="O27">
        <f t="shared" ca="1" si="3"/>
        <v>0.23389652298293465</v>
      </c>
      <c r="Q27" s="2">
        <f t="shared" si="4"/>
        <v>14144.880000000001</v>
      </c>
    </row>
    <row r="28" spans="1:17">
      <c r="A28" s="49" t="s">
        <v>62</v>
      </c>
      <c r="B28" s="50" t="s">
        <v>32</v>
      </c>
      <c r="C28" s="49">
        <v>29217.25</v>
      </c>
      <c r="D28" s="49" t="s">
        <v>55</v>
      </c>
      <c r="E28">
        <f t="shared" si="0"/>
        <v>-20310.756526250807</v>
      </c>
      <c r="F28">
        <f>ROUND(2*E28,0)/2</f>
        <v>-20311</v>
      </c>
      <c r="G28" s="13">
        <f t="shared" si="1"/>
        <v>0.25715599999966798</v>
      </c>
      <c r="I28">
        <f t="shared" si="2"/>
        <v>0.25715599999966798</v>
      </c>
      <c r="O28">
        <f t="shared" ca="1" si="3"/>
        <v>0.23330135645514183</v>
      </c>
      <c r="Q28" s="2">
        <f t="shared" si="4"/>
        <v>14198.75</v>
      </c>
    </row>
    <row r="29" spans="1:17">
      <c r="A29" s="49" t="s">
        <v>62</v>
      </c>
      <c r="B29" s="50" t="s">
        <v>32</v>
      </c>
      <c r="C29" s="49">
        <v>29464.45</v>
      </c>
      <c r="D29" s="49" t="s">
        <v>55</v>
      </c>
      <c r="E29">
        <f t="shared" si="0"/>
        <v>-20076.709057788514</v>
      </c>
      <c r="F29" s="52">
        <f t="shared" ref="F29:F34" si="5">ROUND(2*E29,0)/2-0.5</f>
        <v>-20077</v>
      </c>
      <c r="G29" s="13">
        <f t="shared" si="1"/>
        <v>0.3072920000013255</v>
      </c>
      <c r="I29">
        <f t="shared" si="2"/>
        <v>0.3072920000013255</v>
      </c>
      <c r="O29">
        <f t="shared" ca="1" si="3"/>
        <v>0.23057059238644531</v>
      </c>
      <c r="Q29" s="2">
        <f t="shared" si="4"/>
        <v>14445.95</v>
      </c>
    </row>
    <row r="30" spans="1:17">
      <c r="A30" s="49" t="s">
        <v>62</v>
      </c>
      <c r="B30" s="50" t="s">
        <v>32</v>
      </c>
      <c r="C30" s="49">
        <v>29631.3</v>
      </c>
      <c r="D30" s="49" t="s">
        <v>55</v>
      </c>
      <c r="E30">
        <f t="shared" si="0"/>
        <v>-19918.736484516132</v>
      </c>
      <c r="F30" s="52">
        <f t="shared" si="5"/>
        <v>-19919</v>
      </c>
      <c r="G30" s="13">
        <f t="shared" si="1"/>
        <v>0.27832399999897461</v>
      </c>
      <c r="I30">
        <f t="shared" si="2"/>
        <v>0.27832399999897461</v>
      </c>
      <c r="O30">
        <f t="shared" ca="1" si="3"/>
        <v>0.22872674314347929</v>
      </c>
      <c r="Q30" s="2">
        <f t="shared" si="4"/>
        <v>14612.8</v>
      </c>
    </row>
    <row r="31" spans="1:17">
      <c r="A31" s="49" t="s">
        <v>62</v>
      </c>
      <c r="B31" s="50" t="s">
        <v>32</v>
      </c>
      <c r="C31" s="49">
        <v>29880.560000000001</v>
      </c>
      <c r="D31" s="49" t="s">
        <v>55</v>
      </c>
      <c r="E31">
        <f t="shared" si="0"/>
        <v>-19682.738620483316</v>
      </c>
      <c r="F31" s="52">
        <f t="shared" si="5"/>
        <v>-19683</v>
      </c>
      <c r="G31" s="13">
        <f t="shared" si="1"/>
        <v>0.27606800000285148</v>
      </c>
      <c r="I31">
        <f t="shared" si="2"/>
        <v>0.27606800000285148</v>
      </c>
      <c r="O31">
        <f t="shared" ca="1" si="3"/>
        <v>0.22597263921094776</v>
      </c>
      <c r="Q31" s="2">
        <f t="shared" si="4"/>
        <v>14862.060000000001</v>
      </c>
    </row>
    <row r="32" spans="1:17">
      <c r="A32" s="49" t="s">
        <v>62</v>
      </c>
      <c r="B32" s="50" t="s">
        <v>32</v>
      </c>
      <c r="C32" s="49">
        <v>30199.52</v>
      </c>
      <c r="D32" s="49" t="s">
        <v>55</v>
      </c>
      <c r="E32">
        <f t="shared" si="0"/>
        <v>-19380.74921700139</v>
      </c>
      <c r="F32" s="52">
        <f t="shared" si="5"/>
        <v>-19381</v>
      </c>
      <c r="G32" s="13">
        <f t="shared" si="1"/>
        <v>0.26487600000109524</v>
      </c>
      <c r="I32">
        <f t="shared" si="2"/>
        <v>0.26487600000109524</v>
      </c>
      <c r="O32">
        <f t="shared" ca="1" si="3"/>
        <v>0.2224483197718608</v>
      </c>
      <c r="Q32" s="2">
        <f t="shared" si="4"/>
        <v>15181.02</v>
      </c>
    </row>
    <row r="33" spans="1:17">
      <c r="A33" s="49" t="s">
        <v>62</v>
      </c>
      <c r="B33" s="50" t="s">
        <v>32</v>
      </c>
      <c r="C33" s="49">
        <v>30819.52</v>
      </c>
      <c r="D33" s="49" t="s">
        <v>55</v>
      </c>
      <c r="E33">
        <f t="shared" si="0"/>
        <v>-18793.736957913112</v>
      </c>
      <c r="F33" s="52">
        <f t="shared" si="5"/>
        <v>-18794</v>
      </c>
      <c r="G33" s="13">
        <f t="shared" si="1"/>
        <v>0.27782400000069174</v>
      </c>
      <c r="I33">
        <f t="shared" si="2"/>
        <v>0.27782400000069174</v>
      </c>
      <c r="O33">
        <f t="shared" ca="1" si="3"/>
        <v>0.21559806973628451</v>
      </c>
      <c r="Q33" s="2">
        <f t="shared" si="4"/>
        <v>15801.02</v>
      </c>
    </row>
    <row r="34" spans="1:17">
      <c r="A34" s="49" t="s">
        <v>62</v>
      </c>
      <c r="B34" s="50" t="s">
        <v>32</v>
      </c>
      <c r="C34" s="49">
        <v>31022.32</v>
      </c>
      <c r="D34" s="49" t="s">
        <v>55</v>
      </c>
      <c r="E34">
        <f t="shared" si="0"/>
        <v>-18601.72714155327</v>
      </c>
      <c r="F34" s="52">
        <f t="shared" si="5"/>
        <v>-18602</v>
      </c>
      <c r="G34" s="13">
        <f t="shared" si="1"/>
        <v>0.28819199999998091</v>
      </c>
      <c r="I34">
        <f t="shared" si="2"/>
        <v>0.28819199999998091</v>
      </c>
      <c r="O34">
        <f t="shared" ca="1" si="3"/>
        <v>0.21335744280812327</v>
      </c>
      <c r="Q34" s="2">
        <f t="shared" si="4"/>
        <v>16003.82</v>
      </c>
    </row>
    <row r="35" spans="1:17">
      <c r="A35" s="49" t="s">
        <v>99</v>
      </c>
      <c r="B35" s="50" t="s">
        <v>32</v>
      </c>
      <c r="C35" s="49">
        <v>48040.548999999999</v>
      </c>
      <c r="D35" s="49" t="s">
        <v>55</v>
      </c>
      <c r="E35">
        <f t="shared" si="0"/>
        <v>-2488.9706077281094</v>
      </c>
      <c r="F35">
        <f t="shared" ref="F35:F50" si="6">ROUND(2*E35,0)/2</f>
        <v>-2489</v>
      </c>
      <c r="G35" s="13">
        <f t="shared" si="1"/>
        <v>3.104400000302121E-2</v>
      </c>
      <c r="I35">
        <f t="shared" si="2"/>
        <v>3.104400000302121E-2</v>
      </c>
      <c r="O35">
        <f t="shared" ca="1" si="3"/>
        <v>2.5319829821341493E-2</v>
      </c>
      <c r="Q35" s="2">
        <f t="shared" si="4"/>
        <v>33022.048999999999</v>
      </c>
    </row>
    <row r="36" spans="1:17">
      <c r="A36" s="49" t="s">
        <v>99</v>
      </c>
      <c r="B36" s="50" t="s">
        <v>32</v>
      </c>
      <c r="C36" s="49">
        <v>48151.455000000002</v>
      </c>
      <c r="D36" s="49" t="s">
        <v>55</v>
      </c>
      <c r="E36">
        <f t="shared" si="0"/>
        <v>-2383.9654761048096</v>
      </c>
      <c r="F36">
        <f t="shared" si="6"/>
        <v>-2384</v>
      </c>
      <c r="G36" s="13">
        <f t="shared" si="1"/>
        <v>3.6464000004343688E-2</v>
      </c>
      <c r="I36">
        <f t="shared" si="2"/>
        <v>3.6464000004343688E-2</v>
      </c>
      <c r="O36">
        <f t="shared" ca="1" si="3"/>
        <v>2.4094486970003312E-2</v>
      </c>
      <c r="Q36" s="2">
        <f t="shared" si="4"/>
        <v>33132.955000000002</v>
      </c>
    </row>
    <row r="37" spans="1:17">
      <c r="A37" s="49" t="s">
        <v>99</v>
      </c>
      <c r="B37" s="50" t="s">
        <v>32</v>
      </c>
      <c r="C37" s="49">
        <v>48187.374000000003</v>
      </c>
      <c r="D37" s="49" t="s">
        <v>55</v>
      </c>
      <c r="E37">
        <f t="shared" si="0"/>
        <v>-2349.9575836303052</v>
      </c>
      <c r="F37">
        <f t="shared" si="6"/>
        <v>-2350</v>
      </c>
      <c r="G37" s="13">
        <f t="shared" si="1"/>
        <v>4.4800000003306195E-2</v>
      </c>
      <c r="I37">
        <f t="shared" si="2"/>
        <v>4.4800000003306195E-2</v>
      </c>
      <c r="O37">
        <f t="shared" ca="1" si="3"/>
        <v>2.3697709284808095E-2</v>
      </c>
      <c r="Q37" s="2">
        <f t="shared" si="4"/>
        <v>33168.874000000003</v>
      </c>
    </row>
    <row r="38" spans="1:17">
      <c r="A38" s="49" t="s">
        <v>99</v>
      </c>
      <c r="B38" s="50" t="s">
        <v>32</v>
      </c>
      <c r="C38" s="49">
        <v>48205.32</v>
      </c>
      <c r="D38" s="49" t="s">
        <v>55</v>
      </c>
      <c r="E38">
        <f t="shared" si="0"/>
        <v>-2332.9664191116021</v>
      </c>
      <c r="F38">
        <f t="shared" si="6"/>
        <v>-2333</v>
      </c>
      <c r="G38" s="13">
        <f t="shared" si="1"/>
        <v>3.5468000001856126E-2</v>
      </c>
      <c r="I38">
        <f t="shared" si="2"/>
        <v>3.5468000001856126E-2</v>
      </c>
      <c r="O38">
        <f t="shared" ca="1" si="3"/>
        <v>2.3499320442210484E-2</v>
      </c>
      <c r="Q38" s="2">
        <f t="shared" si="4"/>
        <v>33186.82</v>
      </c>
    </row>
    <row r="39" spans="1:17">
      <c r="A39" s="49" t="s">
        <v>115</v>
      </c>
      <c r="B39" s="50" t="s">
        <v>32</v>
      </c>
      <c r="C39" s="49">
        <v>49259.389799999997</v>
      </c>
      <c r="D39" s="49" t="s">
        <v>55</v>
      </c>
      <c r="E39">
        <f t="shared" si="0"/>
        <v>-1334.9794924426906</v>
      </c>
      <c r="F39">
        <f t="shared" si="6"/>
        <v>-1335</v>
      </c>
      <c r="G39" s="13">
        <f t="shared" si="1"/>
        <v>2.1659999998519197E-2</v>
      </c>
      <c r="K39">
        <f>+G39</f>
        <v>2.1659999998519197E-2</v>
      </c>
      <c r="O39">
        <f t="shared" ca="1" si="3"/>
        <v>1.1852728388539025E-2</v>
      </c>
      <c r="Q39" s="2">
        <f t="shared" si="4"/>
        <v>34240.889799999997</v>
      </c>
    </row>
    <row r="40" spans="1:17">
      <c r="A40" s="49" t="s">
        <v>115</v>
      </c>
      <c r="B40" s="50" t="s">
        <v>32</v>
      </c>
      <c r="C40" s="49">
        <v>49279.456400000003</v>
      </c>
      <c r="D40" s="49" t="s">
        <v>55</v>
      </c>
      <c r="E40">
        <f t="shared" si="0"/>
        <v>-1315.9805566391035</v>
      </c>
      <c r="F40">
        <f t="shared" si="6"/>
        <v>-1316</v>
      </c>
      <c r="G40" s="13">
        <f t="shared" si="1"/>
        <v>2.0536000003630761E-2</v>
      </c>
      <c r="K40">
        <f>+G40</f>
        <v>2.0536000003630761E-2</v>
      </c>
      <c r="O40">
        <f t="shared" ca="1" si="3"/>
        <v>1.1630999682106402E-2</v>
      </c>
      <c r="Q40" s="2">
        <f t="shared" si="4"/>
        <v>34260.956400000003</v>
      </c>
    </row>
    <row r="41" spans="1:17">
      <c r="A41" t="s">
        <v>166</v>
      </c>
      <c r="C41" s="13">
        <v>50669.389799999997</v>
      </c>
      <c r="D41" s="13"/>
      <c r="E41">
        <f t="shared" si="0"/>
        <v>0</v>
      </c>
      <c r="F41">
        <f t="shared" si="6"/>
        <v>0</v>
      </c>
      <c r="H41" s="14">
        <v>0</v>
      </c>
      <c r="O41">
        <f t="shared" ca="1" si="3"/>
        <v>-3.7266307213321137E-3</v>
      </c>
      <c r="Q41" s="2">
        <f t="shared" si="4"/>
        <v>35650.889799999997</v>
      </c>
    </row>
    <row r="42" spans="1:17">
      <c r="A42" s="4" t="s">
        <v>43</v>
      </c>
      <c r="B42" s="15" t="s">
        <v>32</v>
      </c>
      <c r="C42" s="13">
        <v>51711.839740000003</v>
      </c>
      <c r="D42" s="13">
        <v>1.6000000000000001E-4</v>
      </c>
      <c r="E42">
        <f t="shared" si="0"/>
        <v>986.98531333200083</v>
      </c>
      <c r="F42">
        <f t="shared" si="6"/>
        <v>987</v>
      </c>
      <c r="G42" s="13">
        <f t="shared" ref="G42:G49" si="7">+C42-(C$7+F42*C$8)</f>
        <v>-1.551199999084929E-2</v>
      </c>
      <c r="K42">
        <f>+G42</f>
        <v>-1.551199999084929E-2</v>
      </c>
      <c r="O42">
        <f t="shared" ca="1" si="3"/>
        <v>-1.5244853523911001E-2</v>
      </c>
      <c r="Q42" s="2">
        <f t="shared" si="4"/>
        <v>36693.339740000003</v>
      </c>
    </row>
    <row r="43" spans="1:17">
      <c r="A43" s="10" t="s">
        <v>28</v>
      </c>
      <c r="B43" s="11"/>
      <c r="C43" s="16">
        <v>52831.394699999997</v>
      </c>
      <c r="D43" s="16">
        <v>1E-4</v>
      </c>
      <c r="E43">
        <f t="shared" si="0"/>
        <v>2046.973194369227</v>
      </c>
      <c r="F43">
        <f t="shared" si="6"/>
        <v>2047</v>
      </c>
      <c r="G43" s="13">
        <f t="shared" si="7"/>
        <v>-2.8312000002188142E-2</v>
      </c>
      <c r="J43">
        <f>+G43</f>
        <v>-2.8312000002188142E-2</v>
      </c>
      <c r="O43">
        <f t="shared" ca="1" si="3"/>
        <v>-2.7614981356467859E-2</v>
      </c>
      <c r="Q43" s="2">
        <f t="shared" si="4"/>
        <v>37812.894699999997</v>
      </c>
    </row>
    <row r="44" spans="1:17">
      <c r="A44" s="4" t="s">
        <v>27</v>
      </c>
      <c r="C44" s="13">
        <v>52866.776400000002</v>
      </c>
      <c r="D44" s="13">
        <v>2.0000000000000001E-4</v>
      </c>
      <c r="E44">
        <f t="shared" si="0"/>
        <v>2080.4723744456574</v>
      </c>
      <c r="F44">
        <f t="shared" si="6"/>
        <v>2080.5</v>
      </c>
      <c r="G44" s="13">
        <f t="shared" si="7"/>
        <v>-2.9177999997045845E-2</v>
      </c>
      <c r="K44">
        <f>+G44</f>
        <v>-2.9177999997045845E-2</v>
      </c>
      <c r="O44">
        <f t="shared" ca="1" si="3"/>
        <v>-2.8005924075704326E-2</v>
      </c>
      <c r="Q44" s="2">
        <f t="shared" si="4"/>
        <v>37848.276400000002</v>
      </c>
    </row>
    <row r="45" spans="1:17">
      <c r="A45" s="12" t="s">
        <v>31</v>
      </c>
      <c r="B45" s="11"/>
      <c r="C45" s="13">
        <v>53565.443299999999</v>
      </c>
      <c r="D45" s="13">
        <v>8.0000000000000004E-4</v>
      </c>
      <c r="E45">
        <f t="shared" si="0"/>
        <v>2741.9659797992058</v>
      </c>
      <c r="F45">
        <f t="shared" si="6"/>
        <v>2742</v>
      </c>
      <c r="G45" s="13">
        <f t="shared" si="7"/>
        <v>-3.5931999998865649E-2</v>
      </c>
      <c r="J45">
        <f>+G45</f>
        <v>-3.5931999998865649E-2</v>
      </c>
      <c r="O45">
        <f t="shared" ca="1" si="3"/>
        <v>-3.572558403913486E-2</v>
      </c>
      <c r="Q45" s="2">
        <f t="shared" si="4"/>
        <v>38546.943299999999</v>
      </c>
    </row>
    <row r="46" spans="1:17">
      <c r="A46" s="12" t="s">
        <v>31</v>
      </c>
      <c r="B46" s="11"/>
      <c r="C46" s="13">
        <v>53657.332999999999</v>
      </c>
      <c r="D46" s="13">
        <v>3.5000000000000001E-3</v>
      </c>
      <c r="E46">
        <f t="shared" si="0"/>
        <v>2828.9665933216957</v>
      </c>
      <c r="F46">
        <f t="shared" si="6"/>
        <v>2829</v>
      </c>
      <c r="G46" s="13">
        <f t="shared" si="7"/>
        <v>-3.5283999997773208E-2</v>
      </c>
      <c r="J46">
        <f>+G46</f>
        <v>-3.5283999997773208E-2</v>
      </c>
      <c r="O46">
        <f t="shared" ca="1" si="3"/>
        <v>-3.674086811595792E-2</v>
      </c>
      <c r="Q46" s="2">
        <f t="shared" si="4"/>
        <v>38638.832999999999</v>
      </c>
    </row>
    <row r="47" spans="1:17">
      <c r="A47" s="28" t="s">
        <v>39</v>
      </c>
      <c r="B47" s="29"/>
      <c r="C47" s="13">
        <v>54262.526700000002</v>
      </c>
      <c r="D47" s="13">
        <v>1.6000000000000001E-3</v>
      </c>
      <c r="E47">
        <f t="shared" si="0"/>
        <v>3401.9603369071701</v>
      </c>
      <c r="F47">
        <f t="shared" si="6"/>
        <v>3402</v>
      </c>
      <c r="G47" s="13">
        <f t="shared" si="7"/>
        <v>-4.1891999993822537E-2</v>
      </c>
      <c r="J47">
        <f>+G47</f>
        <v>-4.1891999993822537E-2</v>
      </c>
      <c r="O47">
        <f t="shared" ca="1" si="3"/>
        <v>-4.3427739104689125E-2</v>
      </c>
      <c r="Q47" s="2">
        <f t="shared" si="4"/>
        <v>39244.026700000002</v>
      </c>
    </row>
    <row r="48" spans="1:17">
      <c r="A48" s="49" t="s">
        <v>159</v>
      </c>
      <c r="B48" s="50" t="s">
        <v>165</v>
      </c>
      <c r="C48" s="49">
        <v>54317.445599999999</v>
      </c>
      <c r="D48" s="49" t="s">
        <v>55</v>
      </c>
      <c r="E48">
        <f t="shared" si="0"/>
        <v>3453.9572200614302</v>
      </c>
      <c r="F48">
        <f t="shared" si="6"/>
        <v>3454</v>
      </c>
      <c r="G48" s="13">
        <f t="shared" si="7"/>
        <v>-4.5183999995060731E-2</v>
      </c>
      <c r="I48">
        <f>+G48</f>
        <v>-4.5183999995060731E-2</v>
      </c>
      <c r="O48">
        <f t="shared" ca="1" si="3"/>
        <v>-4.4034575564399464E-2</v>
      </c>
      <c r="Q48" s="2">
        <f t="shared" si="4"/>
        <v>39298.945599999999</v>
      </c>
    </row>
    <row r="49" spans="1:17">
      <c r="A49" s="34" t="s">
        <v>44</v>
      </c>
      <c r="B49" s="34"/>
      <c r="C49" s="35">
        <v>55398.453600000001</v>
      </c>
      <c r="D49" s="35">
        <v>6.1999999999999998E-3</v>
      </c>
      <c r="E49">
        <f t="shared" si="0"/>
        <v>4477.4490719525584</v>
      </c>
      <c r="F49">
        <f t="shared" si="6"/>
        <v>4477.5</v>
      </c>
      <c r="G49" s="13">
        <f t="shared" si="7"/>
        <v>-5.37899999981164E-2</v>
      </c>
      <c r="J49">
        <f>+G49</f>
        <v>-5.37899999981164E-2</v>
      </c>
      <c r="O49">
        <f t="shared" ca="1" si="3"/>
        <v>-5.597875088196734E-2</v>
      </c>
      <c r="Q49" s="2">
        <f t="shared" si="4"/>
        <v>40379.953600000001</v>
      </c>
    </row>
    <row r="50" spans="1:17">
      <c r="A50" s="53" t="s">
        <v>167</v>
      </c>
      <c r="B50" s="54" t="s">
        <v>165</v>
      </c>
      <c r="C50" s="55">
        <v>57222.480060000002</v>
      </c>
      <c r="D50" s="55">
        <v>1.6000000000000001E-3</v>
      </c>
      <c r="E50">
        <f>+(C50-C$7)/C$8</f>
        <v>6204.4263185999616</v>
      </c>
      <c r="F50">
        <f t="shared" si="6"/>
        <v>6204.5</v>
      </c>
      <c r="G50" s="13">
        <f>+C50-(C$7+F50*C$8)</f>
        <v>-7.7821999992011115E-2</v>
      </c>
      <c r="K50">
        <f>+G50</f>
        <v>-7.7821999992011115E-2</v>
      </c>
      <c r="O50">
        <f ca="1">+C$11+C$12*$F50</f>
        <v>-7.6132723303501015E-2</v>
      </c>
      <c r="Q50" s="2">
        <f>+C50-15018.5</f>
        <v>42203.980060000002</v>
      </c>
    </row>
    <row r="51" spans="1:17">
      <c r="B51" s="15"/>
    </row>
    <row r="52" spans="1:17">
      <c r="B52" s="15"/>
    </row>
    <row r="53" spans="1:17">
      <c r="B53" s="15"/>
    </row>
    <row r="54" spans="1:17">
      <c r="B54" s="15"/>
    </row>
    <row r="55" spans="1:17">
      <c r="B55" s="15"/>
    </row>
    <row r="56" spans="1:17">
      <c r="B56" s="15"/>
    </row>
    <row r="57" spans="1:17">
      <c r="B57" s="15"/>
    </row>
    <row r="58" spans="1:17">
      <c r="B58" s="15"/>
    </row>
    <row r="59" spans="1:17">
      <c r="B59" s="15"/>
    </row>
    <row r="60" spans="1:17">
      <c r="B60" s="15"/>
    </row>
  </sheetData>
  <phoneticPr fontId="7" type="noConversion"/>
  <hyperlinks>
    <hyperlink ref="H102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workbookViewId="0">
      <selection activeCell="A18" sqref="A18:D39"/>
    </sheetView>
  </sheetViews>
  <sheetFormatPr defaultRowHeight="12.75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45</v>
      </c>
      <c r="I1" s="37" t="s">
        <v>46</v>
      </c>
      <c r="J1" s="38" t="s">
        <v>47</v>
      </c>
    </row>
    <row r="2" spans="1:16">
      <c r="I2" s="39" t="s">
        <v>48</v>
      </c>
      <c r="J2" s="40" t="s">
        <v>49</v>
      </c>
    </row>
    <row r="3" spans="1:16">
      <c r="A3" s="41" t="s">
        <v>50</v>
      </c>
      <c r="I3" s="39" t="s">
        <v>51</v>
      </c>
      <c r="J3" s="40" t="s">
        <v>52</v>
      </c>
    </row>
    <row r="4" spans="1:16">
      <c r="I4" s="39" t="s">
        <v>53</v>
      </c>
      <c r="J4" s="40" t="s">
        <v>52</v>
      </c>
    </row>
    <row r="5" spans="1:16" ht="13.5" thickBot="1">
      <c r="I5" s="42" t="s">
        <v>54</v>
      </c>
      <c r="J5" s="43" t="s">
        <v>55</v>
      </c>
    </row>
    <row r="10" spans="1:16" ht="13.5" thickBot="1"/>
    <row r="11" spans="1:16" ht="12.75" customHeight="1" thickBot="1">
      <c r="A11" s="13" t="str">
        <f t="shared" ref="A11:A39" si="0">P11</f>
        <v>BAVM 117 </v>
      </c>
      <c r="B11" s="15" t="str">
        <f t="shared" ref="B11:B39" si="1">IF(H11=INT(H11),"I","II")</f>
        <v>I</v>
      </c>
      <c r="C11" s="13">
        <f t="shared" ref="C11:C39" si="2">1*G11</f>
        <v>50669.389799999997</v>
      </c>
      <c r="D11" s="12" t="str">
        <f t="shared" ref="D11:D39" si="3">VLOOKUP(F11,I$1:J$5,2,FALSE)</f>
        <v>vis</v>
      </c>
      <c r="E11" s="44">
        <f>VLOOKUP(C11,Active!C$21:E$972,3,FALSE)</f>
        <v>0</v>
      </c>
      <c r="F11" s="15" t="s">
        <v>54</v>
      </c>
      <c r="G11" s="12" t="str">
        <f t="shared" ref="G11:G39" si="4">MID(I11,3,LEN(I11)-3)</f>
        <v>50669.3898</v>
      </c>
      <c r="H11" s="13">
        <f t="shared" ref="H11:H39" si="5">1*K11</f>
        <v>21231</v>
      </c>
      <c r="I11" s="45" t="s">
        <v>119</v>
      </c>
      <c r="J11" s="46" t="s">
        <v>120</v>
      </c>
      <c r="K11" s="45">
        <v>21231</v>
      </c>
      <c r="L11" s="45" t="s">
        <v>121</v>
      </c>
      <c r="M11" s="46" t="s">
        <v>112</v>
      </c>
      <c r="N11" s="46" t="s">
        <v>113</v>
      </c>
      <c r="O11" s="47" t="s">
        <v>114</v>
      </c>
      <c r="P11" s="48" t="s">
        <v>122</v>
      </c>
    </row>
    <row r="12" spans="1:16" ht="12.75" customHeight="1" thickBot="1">
      <c r="A12" s="13" t="str">
        <f t="shared" si="0"/>
        <v>BAVM 172 </v>
      </c>
      <c r="B12" s="15" t="str">
        <f t="shared" si="1"/>
        <v>II</v>
      </c>
      <c r="C12" s="13">
        <f t="shared" si="2"/>
        <v>52831.394699999997</v>
      </c>
      <c r="D12" s="12" t="str">
        <f t="shared" si="3"/>
        <v>vis</v>
      </c>
      <c r="E12" s="44">
        <f>VLOOKUP(C12,Active!C$21:E$972,3,FALSE)</f>
        <v>2046.973194369227</v>
      </c>
      <c r="F12" s="15" t="s">
        <v>54</v>
      </c>
      <c r="G12" s="12" t="str">
        <f t="shared" si="4"/>
        <v>52831.3947</v>
      </c>
      <c r="H12" s="13">
        <f t="shared" si="5"/>
        <v>23277.5</v>
      </c>
      <c r="I12" s="45" t="s">
        <v>129</v>
      </c>
      <c r="J12" s="46" t="s">
        <v>130</v>
      </c>
      <c r="K12" s="45">
        <v>23277.5</v>
      </c>
      <c r="L12" s="45" t="s">
        <v>131</v>
      </c>
      <c r="M12" s="46" t="s">
        <v>112</v>
      </c>
      <c r="N12" s="46" t="s">
        <v>113</v>
      </c>
      <c r="O12" s="47" t="s">
        <v>132</v>
      </c>
      <c r="P12" s="48" t="s">
        <v>133</v>
      </c>
    </row>
    <row r="13" spans="1:16" ht="12.75" customHeight="1" thickBot="1">
      <c r="A13" s="13" t="str">
        <f t="shared" si="0"/>
        <v>IBVS 5493 </v>
      </c>
      <c r="B13" s="15" t="str">
        <f t="shared" si="1"/>
        <v>I</v>
      </c>
      <c r="C13" s="13">
        <f t="shared" si="2"/>
        <v>52866.776400000002</v>
      </c>
      <c r="D13" s="12" t="str">
        <f t="shared" si="3"/>
        <v>vis</v>
      </c>
      <c r="E13" s="44">
        <f>VLOOKUP(C13,Active!C$21:E$972,3,FALSE)</f>
        <v>2080.4723744456574</v>
      </c>
      <c r="F13" s="15" t="s">
        <v>54</v>
      </c>
      <c r="G13" s="12" t="str">
        <f t="shared" si="4"/>
        <v>52866.7764</v>
      </c>
      <c r="H13" s="13">
        <f t="shared" si="5"/>
        <v>23311</v>
      </c>
      <c r="I13" s="45" t="s">
        <v>134</v>
      </c>
      <c r="J13" s="46" t="s">
        <v>135</v>
      </c>
      <c r="K13" s="45">
        <v>23311</v>
      </c>
      <c r="L13" s="45" t="s">
        <v>136</v>
      </c>
      <c r="M13" s="46" t="s">
        <v>112</v>
      </c>
      <c r="N13" s="46" t="s">
        <v>126</v>
      </c>
      <c r="O13" s="47" t="s">
        <v>127</v>
      </c>
      <c r="P13" s="48" t="s">
        <v>137</v>
      </c>
    </row>
    <row r="14" spans="1:16" ht="12.75" customHeight="1" thickBot="1">
      <c r="A14" s="13" t="str">
        <f t="shared" si="0"/>
        <v>BAVM 178 </v>
      </c>
      <c r="B14" s="15" t="str">
        <f t="shared" si="1"/>
        <v>II</v>
      </c>
      <c r="C14" s="13">
        <f t="shared" si="2"/>
        <v>53565.443299999999</v>
      </c>
      <c r="D14" s="12" t="str">
        <f t="shared" si="3"/>
        <v>vis</v>
      </c>
      <c r="E14" s="44">
        <f>VLOOKUP(C14,Active!C$21:E$972,3,FALSE)</f>
        <v>2741.9659797992058</v>
      </c>
      <c r="F14" s="15" t="s">
        <v>54</v>
      </c>
      <c r="G14" s="12" t="str">
        <f t="shared" si="4"/>
        <v>53565.4433</v>
      </c>
      <c r="H14" s="13">
        <f t="shared" si="5"/>
        <v>23972.5</v>
      </c>
      <c r="I14" s="45" t="s">
        <v>138</v>
      </c>
      <c r="J14" s="46" t="s">
        <v>139</v>
      </c>
      <c r="K14" s="45">
        <v>23972.5</v>
      </c>
      <c r="L14" s="45" t="s">
        <v>140</v>
      </c>
      <c r="M14" s="46" t="s">
        <v>141</v>
      </c>
      <c r="N14" s="46" t="s">
        <v>113</v>
      </c>
      <c r="O14" s="47" t="s">
        <v>142</v>
      </c>
      <c r="P14" s="48" t="s">
        <v>143</v>
      </c>
    </row>
    <row r="15" spans="1:16" ht="12.75" customHeight="1" thickBot="1">
      <c r="A15" s="13" t="str">
        <f t="shared" si="0"/>
        <v>BAVM 178 </v>
      </c>
      <c r="B15" s="15" t="str">
        <f t="shared" si="1"/>
        <v>II</v>
      </c>
      <c r="C15" s="13">
        <f t="shared" si="2"/>
        <v>53657.332999999999</v>
      </c>
      <c r="D15" s="12" t="str">
        <f t="shared" si="3"/>
        <v>vis</v>
      </c>
      <c r="E15" s="44">
        <f>VLOOKUP(C15,Active!C$21:E$972,3,FALSE)</f>
        <v>2828.9665933216957</v>
      </c>
      <c r="F15" s="15" t="s">
        <v>54</v>
      </c>
      <c r="G15" s="12" t="str">
        <f t="shared" si="4"/>
        <v>53657.3330</v>
      </c>
      <c r="H15" s="13">
        <f t="shared" si="5"/>
        <v>24059.5</v>
      </c>
      <c r="I15" s="45" t="s">
        <v>144</v>
      </c>
      <c r="J15" s="46" t="s">
        <v>145</v>
      </c>
      <c r="K15" s="45">
        <v>24059.5</v>
      </c>
      <c r="L15" s="45" t="s">
        <v>146</v>
      </c>
      <c r="M15" s="46" t="s">
        <v>141</v>
      </c>
      <c r="N15" s="46" t="s">
        <v>113</v>
      </c>
      <c r="O15" s="47" t="s">
        <v>147</v>
      </c>
      <c r="P15" s="48" t="s">
        <v>143</v>
      </c>
    </row>
    <row r="16" spans="1:16" ht="12.75" customHeight="1" thickBot="1">
      <c r="A16" s="13" t="str">
        <f t="shared" si="0"/>
        <v>BAVM 186 </v>
      </c>
      <c r="B16" s="15" t="str">
        <f t="shared" si="1"/>
        <v>II</v>
      </c>
      <c r="C16" s="13">
        <f t="shared" si="2"/>
        <v>54262.526700000002</v>
      </c>
      <c r="D16" s="12" t="str">
        <f t="shared" si="3"/>
        <v>vis</v>
      </c>
      <c r="E16" s="44">
        <f>VLOOKUP(C16,Active!C$21:E$972,3,FALSE)</f>
        <v>3401.9603369071701</v>
      </c>
      <c r="F16" s="15" t="s">
        <v>54</v>
      </c>
      <c r="G16" s="12" t="str">
        <f t="shared" si="4"/>
        <v>54262.5267</v>
      </c>
      <c r="H16" s="13">
        <f t="shared" si="5"/>
        <v>24632.5</v>
      </c>
      <c r="I16" s="45" t="s">
        <v>148</v>
      </c>
      <c r="J16" s="46" t="s">
        <v>149</v>
      </c>
      <c r="K16" s="45">
        <v>24632.5</v>
      </c>
      <c r="L16" s="45" t="s">
        <v>150</v>
      </c>
      <c r="M16" s="46" t="s">
        <v>141</v>
      </c>
      <c r="N16" s="46" t="s">
        <v>151</v>
      </c>
      <c r="O16" s="47" t="s">
        <v>152</v>
      </c>
      <c r="P16" s="48" t="s">
        <v>153</v>
      </c>
    </row>
    <row r="17" spans="1:16" ht="12.75" customHeight="1" thickBot="1">
      <c r="A17" s="13" t="str">
        <f t="shared" si="0"/>
        <v>BAVM 215 </v>
      </c>
      <c r="B17" s="15" t="str">
        <f t="shared" si="1"/>
        <v>I</v>
      </c>
      <c r="C17" s="13">
        <f t="shared" si="2"/>
        <v>55398.453600000001</v>
      </c>
      <c r="D17" s="12" t="str">
        <f t="shared" si="3"/>
        <v>vis</v>
      </c>
      <c r="E17" s="44">
        <f>VLOOKUP(C17,Active!C$21:E$972,3,FALSE)</f>
        <v>4477.4490719525584</v>
      </c>
      <c r="F17" s="15" t="s">
        <v>54</v>
      </c>
      <c r="G17" s="12" t="str">
        <f t="shared" si="4"/>
        <v>55398.4536</v>
      </c>
      <c r="H17" s="13">
        <f t="shared" si="5"/>
        <v>25708</v>
      </c>
      <c r="I17" s="45" t="s">
        <v>160</v>
      </c>
      <c r="J17" s="46" t="s">
        <v>161</v>
      </c>
      <c r="K17" s="45" t="s">
        <v>162</v>
      </c>
      <c r="L17" s="45" t="s">
        <v>163</v>
      </c>
      <c r="M17" s="46" t="s">
        <v>141</v>
      </c>
      <c r="N17" s="46" t="s">
        <v>151</v>
      </c>
      <c r="O17" s="47" t="s">
        <v>152</v>
      </c>
      <c r="P17" s="48" t="s">
        <v>164</v>
      </c>
    </row>
    <row r="18" spans="1:16" ht="12.75" customHeight="1" thickBot="1">
      <c r="A18" s="13" t="str">
        <f t="shared" si="0"/>
        <v> VSS 1.292 </v>
      </c>
      <c r="B18" s="15" t="str">
        <f t="shared" si="1"/>
        <v>I</v>
      </c>
      <c r="C18" s="13">
        <f t="shared" si="2"/>
        <v>28245.58</v>
      </c>
      <c r="D18" s="12" t="str">
        <f t="shared" si="3"/>
        <v>vis</v>
      </c>
      <c r="E18" s="44">
        <f>VLOOKUP(C18,Active!C$21:E$972,3,FALSE)</f>
        <v>-21230.727819457748</v>
      </c>
      <c r="F18" s="15" t="s">
        <v>54</v>
      </c>
      <c r="G18" s="12" t="str">
        <f t="shared" si="4"/>
        <v>28245.58</v>
      </c>
      <c r="H18" s="13">
        <f t="shared" si="5"/>
        <v>0</v>
      </c>
      <c r="I18" s="45" t="s">
        <v>57</v>
      </c>
      <c r="J18" s="46" t="s">
        <v>58</v>
      </c>
      <c r="K18" s="45">
        <v>0</v>
      </c>
      <c r="L18" s="45" t="s">
        <v>59</v>
      </c>
      <c r="M18" s="46" t="s">
        <v>60</v>
      </c>
      <c r="N18" s="46"/>
      <c r="O18" s="47" t="s">
        <v>61</v>
      </c>
      <c r="P18" s="47" t="s">
        <v>62</v>
      </c>
    </row>
    <row r="19" spans="1:16" ht="12.75" customHeight="1" thickBot="1">
      <c r="A19" s="13" t="str">
        <f t="shared" si="0"/>
        <v> VSS 1.292 </v>
      </c>
      <c r="B19" s="15" t="str">
        <f t="shared" si="1"/>
        <v>I</v>
      </c>
      <c r="C19" s="13">
        <f t="shared" si="2"/>
        <v>28752.53</v>
      </c>
      <c r="D19" s="12" t="str">
        <f t="shared" si="3"/>
        <v>vis</v>
      </c>
      <c r="E19" s="44">
        <f>VLOOKUP(C19,Active!C$21:E$972,3,FALSE)</f>
        <v>-20750.750618256461</v>
      </c>
      <c r="F19" s="15" t="s">
        <v>54</v>
      </c>
      <c r="G19" s="12" t="str">
        <f t="shared" si="4"/>
        <v>28752.53</v>
      </c>
      <c r="H19" s="13">
        <f t="shared" si="5"/>
        <v>480</v>
      </c>
      <c r="I19" s="45" t="s">
        <v>63</v>
      </c>
      <c r="J19" s="46" t="s">
        <v>64</v>
      </c>
      <c r="K19" s="45">
        <v>480</v>
      </c>
      <c r="L19" s="45" t="s">
        <v>65</v>
      </c>
      <c r="M19" s="46" t="s">
        <v>60</v>
      </c>
      <c r="N19" s="46"/>
      <c r="O19" s="47" t="s">
        <v>61</v>
      </c>
      <c r="P19" s="47" t="s">
        <v>62</v>
      </c>
    </row>
    <row r="20" spans="1:16" ht="12.75" customHeight="1" thickBot="1">
      <c r="A20" s="13" t="str">
        <f t="shared" si="0"/>
        <v> VSS 1.292 </v>
      </c>
      <c r="B20" s="15" t="str">
        <f t="shared" si="1"/>
        <v>I</v>
      </c>
      <c r="C20" s="13">
        <f t="shared" si="2"/>
        <v>29014.49</v>
      </c>
      <c r="D20" s="12" t="str">
        <f t="shared" si="3"/>
        <v>vis</v>
      </c>
      <c r="E20" s="44">
        <f>VLOOKUP(C20,Active!C$21:E$972,3,FALSE)</f>
        <v>-20502.728470851998</v>
      </c>
      <c r="F20" s="15" t="s">
        <v>54</v>
      </c>
      <c r="G20" s="12" t="str">
        <f t="shared" si="4"/>
        <v>29014.49</v>
      </c>
      <c r="H20" s="13">
        <f t="shared" si="5"/>
        <v>728</v>
      </c>
      <c r="I20" s="45" t="s">
        <v>66</v>
      </c>
      <c r="J20" s="46" t="s">
        <v>67</v>
      </c>
      <c r="K20" s="45">
        <v>728</v>
      </c>
      <c r="L20" s="45" t="s">
        <v>68</v>
      </c>
      <c r="M20" s="46" t="s">
        <v>60</v>
      </c>
      <c r="N20" s="46"/>
      <c r="O20" s="47" t="s">
        <v>61</v>
      </c>
      <c r="P20" s="47" t="s">
        <v>62</v>
      </c>
    </row>
    <row r="21" spans="1:16" ht="12.75" customHeight="1" thickBot="1">
      <c r="A21" s="13" t="str">
        <f t="shared" si="0"/>
        <v> VSS 1.292 </v>
      </c>
      <c r="B21" s="15" t="str">
        <f t="shared" si="1"/>
        <v>I</v>
      </c>
      <c r="C21" s="13">
        <f t="shared" si="2"/>
        <v>29050.43</v>
      </c>
      <c r="D21" s="12" t="str">
        <f t="shared" si="3"/>
        <v>vis</v>
      </c>
      <c r="E21" s="44">
        <f>VLOOKUP(C21,Active!C$21:E$972,3,FALSE)</f>
        <v>-20468.700695704207</v>
      </c>
      <c r="F21" s="15" t="s">
        <v>54</v>
      </c>
      <c r="G21" s="12" t="str">
        <f t="shared" si="4"/>
        <v>29050.43</v>
      </c>
      <c r="H21" s="13">
        <f t="shared" si="5"/>
        <v>762</v>
      </c>
      <c r="I21" s="45" t="s">
        <v>69</v>
      </c>
      <c r="J21" s="46" t="s">
        <v>70</v>
      </c>
      <c r="K21" s="45">
        <v>762</v>
      </c>
      <c r="L21" s="45" t="s">
        <v>71</v>
      </c>
      <c r="M21" s="46" t="s">
        <v>60</v>
      </c>
      <c r="N21" s="46"/>
      <c r="O21" s="47" t="s">
        <v>61</v>
      </c>
      <c r="P21" s="47" t="s">
        <v>62</v>
      </c>
    </row>
    <row r="22" spans="1:16" ht="12.75" customHeight="1" thickBot="1">
      <c r="A22" s="13" t="str">
        <f t="shared" si="0"/>
        <v> VSS 1.292 </v>
      </c>
      <c r="B22" s="15" t="str">
        <f t="shared" si="1"/>
        <v>I</v>
      </c>
      <c r="C22" s="13">
        <f t="shared" si="2"/>
        <v>29107.46</v>
      </c>
      <c r="D22" s="12" t="str">
        <f t="shared" si="3"/>
        <v>vis</v>
      </c>
      <c r="E22" s="44">
        <f>VLOOKUP(C22,Active!C$21:E$972,3,FALSE)</f>
        <v>-20414.705035807747</v>
      </c>
      <c r="F22" s="15" t="s">
        <v>54</v>
      </c>
      <c r="G22" s="12" t="str">
        <f t="shared" si="4"/>
        <v>29107.46</v>
      </c>
      <c r="H22" s="13">
        <f t="shared" si="5"/>
        <v>816</v>
      </c>
      <c r="I22" s="45" t="s">
        <v>72</v>
      </c>
      <c r="J22" s="46" t="s">
        <v>73</v>
      </c>
      <c r="K22" s="45">
        <v>816</v>
      </c>
      <c r="L22" s="45" t="s">
        <v>74</v>
      </c>
      <c r="M22" s="46" t="s">
        <v>60</v>
      </c>
      <c r="N22" s="46"/>
      <c r="O22" s="47" t="s">
        <v>61</v>
      </c>
      <c r="P22" s="47" t="s">
        <v>62</v>
      </c>
    </row>
    <row r="23" spans="1:16" ht="12.75" customHeight="1" thickBot="1">
      <c r="A23" s="13" t="str">
        <f t="shared" si="0"/>
        <v> VSS 1.292 </v>
      </c>
      <c r="B23" s="15" t="str">
        <f t="shared" si="1"/>
        <v>I</v>
      </c>
      <c r="C23" s="13">
        <f t="shared" si="2"/>
        <v>29108.51</v>
      </c>
      <c r="D23" s="12" t="str">
        <f t="shared" si="3"/>
        <v>vis</v>
      </c>
      <c r="E23" s="44">
        <f>VLOOKUP(C23,Active!C$21:E$972,3,FALSE)</f>
        <v>-20413.710902143164</v>
      </c>
      <c r="F23" s="15" t="s">
        <v>54</v>
      </c>
      <c r="G23" s="12" t="str">
        <f t="shared" si="4"/>
        <v>29108.51</v>
      </c>
      <c r="H23" s="13">
        <f t="shared" si="5"/>
        <v>817</v>
      </c>
      <c r="I23" s="45" t="s">
        <v>75</v>
      </c>
      <c r="J23" s="46" t="s">
        <v>76</v>
      </c>
      <c r="K23" s="45">
        <v>817</v>
      </c>
      <c r="L23" s="45" t="s">
        <v>74</v>
      </c>
      <c r="M23" s="46" t="s">
        <v>60</v>
      </c>
      <c r="N23" s="46"/>
      <c r="O23" s="47" t="s">
        <v>61</v>
      </c>
      <c r="P23" s="47" t="s">
        <v>62</v>
      </c>
    </row>
    <row r="24" spans="1:16" ht="12.75" customHeight="1" thickBot="1">
      <c r="A24" s="13" t="str">
        <f t="shared" si="0"/>
        <v> VSS 1.292 </v>
      </c>
      <c r="B24" s="15" t="str">
        <f t="shared" si="1"/>
        <v>I</v>
      </c>
      <c r="C24" s="13">
        <f t="shared" si="2"/>
        <v>29163.38</v>
      </c>
      <c r="D24" s="12" t="str">
        <f t="shared" si="3"/>
        <v>vis</v>
      </c>
      <c r="E24" s="44">
        <f>VLOOKUP(C24,Active!C$21:E$972,3,FALSE)</f>
        <v>-20361.760317213848</v>
      </c>
      <c r="F24" s="15" t="s">
        <v>54</v>
      </c>
      <c r="G24" s="12" t="str">
        <f t="shared" si="4"/>
        <v>29163.38</v>
      </c>
      <c r="H24" s="13">
        <f t="shared" si="5"/>
        <v>869</v>
      </c>
      <c r="I24" s="45" t="s">
        <v>77</v>
      </c>
      <c r="J24" s="46" t="s">
        <v>78</v>
      </c>
      <c r="K24" s="45">
        <v>869</v>
      </c>
      <c r="L24" s="45" t="s">
        <v>79</v>
      </c>
      <c r="M24" s="46" t="s">
        <v>60</v>
      </c>
      <c r="N24" s="46"/>
      <c r="O24" s="47" t="s">
        <v>61</v>
      </c>
      <c r="P24" s="47" t="s">
        <v>62</v>
      </c>
    </row>
    <row r="25" spans="1:16" ht="12.75" customHeight="1" thickBot="1">
      <c r="A25" s="13" t="str">
        <f t="shared" si="0"/>
        <v> VSS 1.292 </v>
      </c>
      <c r="B25" s="15" t="str">
        <f t="shared" si="1"/>
        <v>I</v>
      </c>
      <c r="C25" s="13">
        <f t="shared" si="2"/>
        <v>29217.25</v>
      </c>
      <c r="D25" s="12" t="str">
        <f t="shared" si="3"/>
        <v>vis</v>
      </c>
      <c r="E25" s="44">
        <f>VLOOKUP(C25,Active!C$21:E$972,3,FALSE)</f>
        <v>-20310.756526250807</v>
      </c>
      <c r="F25" s="15" t="s">
        <v>54</v>
      </c>
      <c r="G25" s="12" t="str">
        <f t="shared" si="4"/>
        <v>29217.25</v>
      </c>
      <c r="H25" s="13">
        <f t="shared" si="5"/>
        <v>920</v>
      </c>
      <c r="I25" s="45" t="s">
        <v>80</v>
      </c>
      <c r="J25" s="46" t="s">
        <v>81</v>
      </c>
      <c r="K25" s="45">
        <v>920</v>
      </c>
      <c r="L25" s="45" t="s">
        <v>79</v>
      </c>
      <c r="M25" s="46" t="s">
        <v>60</v>
      </c>
      <c r="N25" s="46"/>
      <c r="O25" s="47" t="s">
        <v>61</v>
      </c>
      <c r="P25" s="47" t="s">
        <v>62</v>
      </c>
    </row>
    <row r="26" spans="1:16" ht="12.75" customHeight="1" thickBot="1">
      <c r="A26" s="13" t="str">
        <f t="shared" si="0"/>
        <v> VSS 1.292 </v>
      </c>
      <c r="B26" s="15" t="str">
        <f t="shared" si="1"/>
        <v>I</v>
      </c>
      <c r="C26" s="13">
        <f t="shared" si="2"/>
        <v>29464.45</v>
      </c>
      <c r="D26" s="12" t="str">
        <f t="shared" si="3"/>
        <v>vis</v>
      </c>
      <c r="E26" s="44">
        <f>VLOOKUP(C26,Active!C$21:E$972,3,FALSE)</f>
        <v>-20076.709057788514</v>
      </c>
      <c r="F26" s="15" t="s">
        <v>54</v>
      </c>
      <c r="G26" s="12" t="str">
        <f t="shared" si="4"/>
        <v>29464.45</v>
      </c>
      <c r="H26" s="13">
        <f t="shared" si="5"/>
        <v>1154</v>
      </c>
      <c r="I26" s="45" t="s">
        <v>82</v>
      </c>
      <c r="J26" s="46" t="s">
        <v>83</v>
      </c>
      <c r="K26" s="45">
        <v>1154</v>
      </c>
      <c r="L26" s="45" t="s">
        <v>74</v>
      </c>
      <c r="M26" s="46" t="s">
        <v>60</v>
      </c>
      <c r="N26" s="46"/>
      <c r="O26" s="47" t="s">
        <v>61</v>
      </c>
      <c r="P26" s="47" t="s">
        <v>62</v>
      </c>
    </row>
    <row r="27" spans="1:16" ht="12.75" customHeight="1" thickBot="1">
      <c r="A27" s="13" t="str">
        <f t="shared" si="0"/>
        <v> VSS 1.292 </v>
      </c>
      <c r="B27" s="15" t="str">
        <f t="shared" si="1"/>
        <v>I</v>
      </c>
      <c r="C27" s="13">
        <f t="shared" si="2"/>
        <v>29631.3</v>
      </c>
      <c r="D27" s="12" t="str">
        <f t="shared" si="3"/>
        <v>vis</v>
      </c>
      <c r="E27" s="44">
        <f>VLOOKUP(C27,Active!C$21:E$972,3,FALSE)</f>
        <v>-19918.736484516132</v>
      </c>
      <c r="F27" s="15" t="s">
        <v>54</v>
      </c>
      <c r="G27" s="12" t="str">
        <f t="shared" si="4"/>
        <v>29631.30</v>
      </c>
      <c r="H27" s="13">
        <f t="shared" si="5"/>
        <v>1312</v>
      </c>
      <c r="I27" s="45" t="s">
        <v>84</v>
      </c>
      <c r="J27" s="46" t="s">
        <v>85</v>
      </c>
      <c r="K27" s="45">
        <v>1312</v>
      </c>
      <c r="L27" s="45" t="s">
        <v>86</v>
      </c>
      <c r="M27" s="46" t="s">
        <v>60</v>
      </c>
      <c r="N27" s="46"/>
      <c r="O27" s="47" t="s">
        <v>61</v>
      </c>
      <c r="P27" s="47" t="s">
        <v>62</v>
      </c>
    </row>
    <row r="28" spans="1:16" ht="12.75" customHeight="1" thickBot="1">
      <c r="A28" s="13" t="str">
        <f t="shared" si="0"/>
        <v> VSS 1.292 </v>
      </c>
      <c r="B28" s="15" t="str">
        <f t="shared" si="1"/>
        <v>I</v>
      </c>
      <c r="C28" s="13">
        <f t="shared" si="2"/>
        <v>29880.560000000001</v>
      </c>
      <c r="D28" s="12" t="str">
        <f t="shared" si="3"/>
        <v>vis</v>
      </c>
      <c r="E28" s="44">
        <f>VLOOKUP(C28,Active!C$21:E$972,3,FALSE)</f>
        <v>-19682.738620483316</v>
      </c>
      <c r="F28" s="15" t="s">
        <v>54</v>
      </c>
      <c r="G28" s="12" t="str">
        <f t="shared" si="4"/>
        <v>29880.56</v>
      </c>
      <c r="H28" s="13">
        <f t="shared" si="5"/>
        <v>1548</v>
      </c>
      <c r="I28" s="45" t="s">
        <v>87</v>
      </c>
      <c r="J28" s="46" t="s">
        <v>88</v>
      </c>
      <c r="K28" s="45">
        <v>1548</v>
      </c>
      <c r="L28" s="45" t="s">
        <v>86</v>
      </c>
      <c r="M28" s="46" t="s">
        <v>60</v>
      </c>
      <c r="N28" s="46"/>
      <c r="O28" s="47" t="s">
        <v>61</v>
      </c>
      <c r="P28" s="47" t="s">
        <v>62</v>
      </c>
    </row>
    <row r="29" spans="1:16" ht="12.75" customHeight="1" thickBot="1">
      <c r="A29" s="13" t="str">
        <f t="shared" si="0"/>
        <v> VSS 1.292 </v>
      </c>
      <c r="B29" s="15" t="str">
        <f t="shared" si="1"/>
        <v>I</v>
      </c>
      <c r="C29" s="13">
        <f t="shared" si="2"/>
        <v>30199.52</v>
      </c>
      <c r="D29" s="12" t="str">
        <f t="shared" si="3"/>
        <v>vis</v>
      </c>
      <c r="E29" s="44">
        <f>VLOOKUP(C29,Active!C$21:E$972,3,FALSE)</f>
        <v>-19380.74921700139</v>
      </c>
      <c r="F29" s="15" t="s">
        <v>54</v>
      </c>
      <c r="G29" s="12" t="str">
        <f t="shared" si="4"/>
        <v>30199.52</v>
      </c>
      <c r="H29" s="13">
        <f t="shared" si="5"/>
        <v>1850</v>
      </c>
      <c r="I29" s="45" t="s">
        <v>89</v>
      </c>
      <c r="J29" s="46" t="s">
        <v>90</v>
      </c>
      <c r="K29" s="45">
        <v>1850</v>
      </c>
      <c r="L29" s="45" t="s">
        <v>65</v>
      </c>
      <c r="M29" s="46" t="s">
        <v>60</v>
      </c>
      <c r="N29" s="46"/>
      <c r="O29" s="47" t="s">
        <v>61</v>
      </c>
      <c r="P29" s="47" t="s">
        <v>62</v>
      </c>
    </row>
    <row r="30" spans="1:16" ht="12.75" customHeight="1" thickBot="1">
      <c r="A30" s="13" t="str">
        <f t="shared" si="0"/>
        <v> VSS 1.292 </v>
      </c>
      <c r="B30" s="15" t="str">
        <f t="shared" si="1"/>
        <v>I</v>
      </c>
      <c r="C30" s="13">
        <f t="shared" si="2"/>
        <v>30819.52</v>
      </c>
      <c r="D30" s="12" t="str">
        <f t="shared" si="3"/>
        <v>vis</v>
      </c>
      <c r="E30" s="44">
        <f>VLOOKUP(C30,Active!C$21:E$972,3,FALSE)</f>
        <v>-18793.736957913112</v>
      </c>
      <c r="F30" s="15" t="s">
        <v>54</v>
      </c>
      <c r="G30" s="12" t="str">
        <f t="shared" si="4"/>
        <v>30819.52</v>
      </c>
      <c r="H30" s="13">
        <f t="shared" si="5"/>
        <v>2437</v>
      </c>
      <c r="I30" s="45" t="s">
        <v>91</v>
      </c>
      <c r="J30" s="46" t="s">
        <v>92</v>
      </c>
      <c r="K30" s="45">
        <v>2437</v>
      </c>
      <c r="L30" s="45" t="s">
        <v>86</v>
      </c>
      <c r="M30" s="46" t="s">
        <v>60</v>
      </c>
      <c r="N30" s="46"/>
      <c r="O30" s="47" t="s">
        <v>61</v>
      </c>
      <c r="P30" s="47" t="s">
        <v>62</v>
      </c>
    </row>
    <row r="31" spans="1:16" ht="12.75" customHeight="1" thickBot="1">
      <c r="A31" s="13" t="str">
        <f t="shared" si="0"/>
        <v> VSS 1.292 </v>
      </c>
      <c r="B31" s="15" t="str">
        <f t="shared" si="1"/>
        <v>I</v>
      </c>
      <c r="C31" s="13">
        <f t="shared" si="2"/>
        <v>31022.32</v>
      </c>
      <c r="D31" s="12" t="str">
        <f t="shared" si="3"/>
        <v>vis</v>
      </c>
      <c r="E31" s="44">
        <f>VLOOKUP(C31,Active!C$21:E$972,3,FALSE)</f>
        <v>-18601.72714155327</v>
      </c>
      <c r="F31" s="15" t="s">
        <v>54</v>
      </c>
      <c r="G31" s="12" t="str">
        <f t="shared" si="4"/>
        <v>31022.32</v>
      </c>
      <c r="H31" s="13">
        <f t="shared" si="5"/>
        <v>2629</v>
      </c>
      <c r="I31" s="45" t="s">
        <v>93</v>
      </c>
      <c r="J31" s="46" t="s">
        <v>94</v>
      </c>
      <c r="K31" s="45">
        <v>2629</v>
      </c>
      <c r="L31" s="45" t="s">
        <v>59</v>
      </c>
      <c r="M31" s="46" t="s">
        <v>60</v>
      </c>
      <c r="N31" s="46"/>
      <c r="O31" s="47" t="s">
        <v>61</v>
      </c>
      <c r="P31" s="47" t="s">
        <v>62</v>
      </c>
    </row>
    <row r="32" spans="1:16" ht="12.75" customHeight="1" thickBot="1">
      <c r="A32" s="13" t="str">
        <f t="shared" si="0"/>
        <v>BAVM 59 </v>
      </c>
      <c r="B32" s="15" t="str">
        <f t="shared" si="1"/>
        <v>I</v>
      </c>
      <c r="C32" s="13">
        <f t="shared" si="2"/>
        <v>48040.548999999999</v>
      </c>
      <c r="D32" s="12" t="str">
        <f t="shared" si="3"/>
        <v>vis</v>
      </c>
      <c r="E32" s="44">
        <f>VLOOKUP(C32,Active!C$21:E$972,3,FALSE)</f>
        <v>-2488.9706077281094</v>
      </c>
      <c r="F32" s="15" t="s">
        <v>54</v>
      </c>
      <c r="G32" s="12" t="str">
        <f t="shared" si="4"/>
        <v>48040.549</v>
      </c>
      <c r="H32" s="13">
        <f t="shared" si="5"/>
        <v>18742</v>
      </c>
      <c r="I32" s="45" t="s">
        <v>95</v>
      </c>
      <c r="J32" s="46" t="s">
        <v>96</v>
      </c>
      <c r="K32" s="45">
        <v>18742</v>
      </c>
      <c r="L32" s="45" t="s">
        <v>97</v>
      </c>
      <c r="M32" s="46" t="s">
        <v>56</v>
      </c>
      <c r="N32" s="46"/>
      <c r="O32" s="47" t="s">
        <v>98</v>
      </c>
      <c r="P32" s="48" t="s">
        <v>99</v>
      </c>
    </row>
    <row r="33" spans="1:16" ht="12.75" customHeight="1" thickBot="1">
      <c r="A33" s="13" t="str">
        <f t="shared" si="0"/>
        <v>BAVM 59 </v>
      </c>
      <c r="B33" s="15" t="str">
        <f t="shared" si="1"/>
        <v>I</v>
      </c>
      <c r="C33" s="13">
        <f t="shared" si="2"/>
        <v>48151.455000000002</v>
      </c>
      <c r="D33" s="12" t="str">
        <f t="shared" si="3"/>
        <v>vis</v>
      </c>
      <c r="E33" s="44">
        <f>VLOOKUP(C33,Active!C$21:E$972,3,FALSE)</f>
        <v>-2383.9654761048096</v>
      </c>
      <c r="F33" s="15" t="s">
        <v>54</v>
      </c>
      <c r="G33" s="12" t="str">
        <f t="shared" si="4"/>
        <v>48151.455</v>
      </c>
      <c r="H33" s="13">
        <f t="shared" si="5"/>
        <v>18847</v>
      </c>
      <c r="I33" s="45" t="s">
        <v>100</v>
      </c>
      <c r="J33" s="46" t="s">
        <v>101</v>
      </c>
      <c r="K33" s="45">
        <v>18847</v>
      </c>
      <c r="L33" s="45" t="s">
        <v>102</v>
      </c>
      <c r="M33" s="46" t="s">
        <v>56</v>
      </c>
      <c r="N33" s="46"/>
      <c r="O33" s="47" t="s">
        <v>98</v>
      </c>
      <c r="P33" s="48" t="s">
        <v>99</v>
      </c>
    </row>
    <row r="34" spans="1:16" ht="12.75" customHeight="1" thickBot="1">
      <c r="A34" s="13" t="str">
        <f t="shared" si="0"/>
        <v>BAVM 59 </v>
      </c>
      <c r="B34" s="15" t="str">
        <f t="shared" si="1"/>
        <v>I</v>
      </c>
      <c r="C34" s="13">
        <f t="shared" si="2"/>
        <v>48187.374000000003</v>
      </c>
      <c r="D34" s="12" t="str">
        <f t="shared" si="3"/>
        <v>vis</v>
      </c>
      <c r="E34" s="44">
        <f>VLOOKUP(C34,Active!C$21:E$972,3,FALSE)</f>
        <v>-2349.9575836303052</v>
      </c>
      <c r="F34" s="15" t="s">
        <v>54</v>
      </c>
      <c r="G34" s="12" t="str">
        <f t="shared" si="4"/>
        <v>48187.374</v>
      </c>
      <c r="H34" s="13">
        <f t="shared" si="5"/>
        <v>18881</v>
      </c>
      <c r="I34" s="45" t="s">
        <v>103</v>
      </c>
      <c r="J34" s="46" t="s">
        <v>104</v>
      </c>
      <c r="K34" s="45">
        <v>18881</v>
      </c>
      <c r="L34" s="45" t="s">
        <v>105</v>
      </c>
      <c r="M34" s="46" t="s">
        <v>56</v>
      </c>
      <c r="N34" s="46"/>
      <c r="O34" s="47" t="s">
        <v>98</v>
      </c>
      <c r="P34" s="48" t="s">
        <v>99</v>
      </c>
    </row>
    <row r="35" spans="1:16" ht="12.75" customHeight="1" thickBot="1">
      <c r="A35" s="13" t="str">
        <f t="shared" si="0"/>
        <v>BAVM 59 </v>
      </c>
      <c r="B35" s="15" t="str">
        <f t="shared" si="1"/>
        <v>I</v>
      </c>
      <c r="C35" s="13">
        <f t="shared" si="2"/>
        <v>48205.32</v>
      </c>
      <c r="D35" s="12" t="str">
        <f t="shared" si="3"/>
        <v>vis</v>
      </c>
      <c r="E35" s="44">
        <f>VLOOKUP(C35,Active!C$21:E$972,3,FALSE)</f>
        <v>-2332.9664191116021</v>
      </c>
      <c r="F35" s="15" t="s">
        <v>54</v>
      </c>
      <c r="G35" s="12" t="str">
        <f t="shared" si="4"/>
        <v>48205.320</v>
      </c>
      <c r="H35" s="13">
        <f t="shared" si="5"/>
        <v>18898</v>
      </c>
      <c r="I35" s="45" t="s">
        <v>106</v>
      </c>
      <c r="J35" s="46" t="s">
        <v>107</v>
      </c>
      <c r="K35" s="45">
        <v>18898</v>
      </c>
      <c r="L35" s="45" t="s">
        <v>108</v>
      </c>
      <c r="M35" s="46" t="s">
        <v>56</v>
      </c>
      <c r="N35" s="46"/>
      <c r="O35" s="47" t="s">
        <v>98</v>
      </c>
      <c r="P35" s="48" t="s">
        <v>99</v>
      </c>
    </row>
    <row r="36" spans="1:16" ht="12.75" customHeight="1" thickBot="1">
      <c r="A36" s="13" t="str">
        <f t="shared" si="0"/>
        <v>BAVM 68 </v>
      </c>
      <c r="B36" s="15" t="str">
        <f t="shared" si="1"/>
        <v>I</v>
      </c>
      <c r="C36" s="13">
        <f t="shared" si="2"/>
        <v>49259.389799999997</v>
      </c>
      <c r="D36" s="12" t="str">
        <f t="shared" si="3"/>
        <v>vis</v>
      </c>
      <c r="E36" s="44">
        <f>VLOOKUP(C36,Active!C$21:E$972,3,FALSE)</f>
        <v>-1334.9794924426906</v>
      </c>
      <c r="F36" s="15" t="s">
        <v>54</v>
      </c>
      <c r="G36" s="12" t="str">
        <f t="shared" si="4"/>
        <v>49259.3898</v>
      </c>
      <c r="H36" s="13">
        <f t="shared" si="5"/>
        <v>19896</v>
      </c>
      <c r="I36" s="45" t="s">
        <v>109</v>
      </c>
      <c r="J36" s="46" t="s">
        <v>110</v>
      </c>
      <c r="K36" s="45">
        <v>19896</v>
      </c>
      <c r="L36" s="45" t="s">
        <v>111</v>
      </c>
      <c r="M36" s="46" t="s">
        <v>112</v>
      </c>
      <c r="N36" s="46" t="s">
        <v>113</v>
      </c>
      <c r="O36" s="47" t="s">
        <v>114</v>
      </c>
      <c r="P36" s="48" t="s">
        <v>115</v>
      </c>
    </row>
    <row r="37" spans="1:16" ht="12.75" customHeight="1" thickBot="1">
      <c r="A37" s="13" t="str">
        <f t="shared" si="0"/>
        <v>BAVM 68 </v>
      </c>
      <c r="B37" s="15" t="str">
        <f t="shared" si="1"/>
        <v>I</v>
      </c>
      <c r="C37" s="13">
        <f t="shared" si="2"/>
        <v>49279.456400000003</v>
      </c>
      <c r="D37" s="12" t="str">
        <f t="shared" si="3"/>
        <v>vis</v>
      </c>
      <c r="E37" s="44">
        <f>VLOOKUP(C37,Active!C$21:E$972,3,FALSE)</f>
        <v>-1315.9805566391035</v>
      </c>
      <c r="F37" s="15" t="s">
        <v>54</v>
      </c>
      <c r="G37" s="12" t="str">
        <f t="shared" si="4"/>
        <v>49279.4564</v>
      </c>
      <c r="H37" s="13">
        <f t="shared" si="5"/>
        <v>19915</v>
      </c>
      <c r="I37" s="45" t="s">
        <v>116</v>
      </c>
      <c r="J37" s="46" t="s">
        <v>117</v>
      </c>
      <c r="K37" s="45">
        <v>19915</v>
      </c>
      <c r="L37" s="45" t="s">
        <v>118</v>
      </c>
      <c r="M37" s="46" t="s">
        <v>112</v>
      </c>
      <c r="N37" s="46" t="s">
        <v>113</v>
      </c>
      <c r="O37" s="47" t="s">
        <v>114</v>
      </c>
      <c r="P37" s="48" t="s">
        <v>115</v>
      </c>
    </row>
    <row r="38" spans="1:16" ht="12.75" customHeight="1" thickBot="1">
      <c r="A38" s="13" t="str">
        <f t="shared" si="0"/>
        <v>IBVS 5040 </v>
      </c>
      <c r="B38" s="15" t="str">
        <f t="shared" si="1"/>
        <v>I</v>
      </c>
      <c r="C38" s="13">
        <f t="shared" si="2"/>
        <v>51711.839699999997</v>
      </c>
      <c r="D38" s="12" t="str">
        <f t="shared" si="3"/>
        <v>vis</v>
      </c>
      <c r="E38" s="44" t="e">
        <f>VLOOKUP(C38,Active!C$21:E$972,3,FALSE)</f>
        <v>#N/A</v>
      </c>
      <c r="F38" s="15" t="s">
        <v>54</v>
      </c>
      <c r="G38" s="12" t="str">
        <f t="shared" si="4"/>
        <v>51711.8397</v>
      </c>
      <c r="H38" s="13">
        <f t="shared" si="5"/>
        <v>22218</v>
      </c>
      <c r="I38" s="45" t="s">
        <v>123</v>
      </c>
      <c r="J38" s="46" t="s">
        <v>124</v>
      </c>
      <c r="K38" s="45">
        <v>22218</v>
      </c>
      <c r="L38" s="45" t="s">
        <v>125</v>
      </c>
      <c r="M38" s="46" t="s">
        <v>112</v>
      </c>
      <c r="N38" s="46" t="s">
        <v>126</v>
      </c>
      <c r="O38" s="47" t="s">
        <v>127</v>
      </c>
      <c r="P38" s="48" t="s">
        <v>128</v>
      </c>
    </row>
    <row r="39" spans="1:16" ht="12.75" customHeight="1" thickBot="1">
      <c r="A39" s="13" t="str">
        <f t="shared" si="0"/>
        <v>BAVM 203 </v>
      </c>
      <c r="B39" s="15" t="str">
        <f t="shared" si="1"/>
        <v>II</v>
      </c>
      <c r="C39" s="13">
        <f t="shared" si="2"/>
        <v>54317.445599999999</v>
      </c>
      <c r="D39" s="12" t="str">
        <f t="shared" si="3"/>
        <v>vis</v>
      </c>
      <c r="E39" s="44">
        <f>VLOOKUP(C39,Active!C$21:E$972,3,FALSE)</f>
        <v>3453.9572200614302</v>
      </c>
      <c r="F39" s="15" t="s">
        <v>54</v>
      </c>
      <c r="G39" s="12" t="str">
        <f t="shared" si="4"/>
        <v>54317.4456</v>
      </c>
      <c r="H39" s="13">
        <f t="shared" si="5"/>
        <v>24684.5</v>
      </c>
      <c r="I39" s="45" t="s">
        <v>154</v>
      </c>
      <c r="J39" s="46" t="s">
        <v>155</v>
      </c>
      <c r="K39" s="45" t="s">
        <v>156</v>
      </c>
      <c r="L39" s="45" t="s">
        <v>157</v>
      </c>
      <c r="M39" s="46" t="s">
        <v>141</v>
      </c>
      <c r="N39" s="46" t="s">
        <v>113</v>
      </c>
      <c r="O39" s="47" t="s">
        <v>158</v>
      </c>
      <c r="P39" s="48" t="s">
        <v>159</v>
      </c>
    </row>
    <row r="40" spans="1:16">
      <c r="B40" s="15"/>
      <c r="F40" s="15"/>
    </row>
    <row r="41" spans="1:16">
      <c r="B41" s="15"/>
      <c r="F41" s="15"/>
    </row>
    <row r="42" spans="1:16">
      <c r="B42" s="15"/>
      <c r="F42" s="15"/>
    </row>
    <row r="43" spans="1:16">
      <c r="B43" s="15"/>
      <c r="F43" s="15"/>
    </row>
    <row r="44" spans="1:16">
      <c r="B44" s="15"/>
      <c r="F44" s="15"/>
    </row>
    <row r="45" spans="1:16">
      <c r="B45" s="15"/>
      <c r="F45" s="15"/>
    </row>
    <row r="46" spans="1:16">
      <c r="B46" s="15"/>
      <c r="F46" s="15"/>
    </row>
    <row r="47" spans="1:16">
      <c r="B47" s="15"/>
      <c r="F47" s="15"/>
    </row>
    <row r="48" spans="1:16">
      <c r="B48" s="15"/>
      <c r="F48" s="15"/>
    </row>
    <row r="49" spans="2:6">
      <c r="B49" s="15"/>
      <c r="F49" s="15"/>
    </row>
    <row r="50" spans="2:6">
      <c r="B50" s="15"/>
      <c r="F50" s="15"/>
    </row>
    <row r="51" spans="2:6">
      <c r="B51" s="15"/>
      <c r="F51" s="15"/>
    </row>
    <row r="52" spans="2:6">
      <c r="B52" s="15"/>
      <c r="F52" s="15"/>
    </row>
    <row r="53" spans="2:6">
      <c r="B53" s="15"/>
      <c r="F53" s="15"/>
    </row>
    <row r="54" spans="2:6">
      <c r="B54" s="15"/>
      <c r="F54" s="15"/>
    </row>
    <row r="55" spans="2:6">
      <c r="B55" s="15"/>
      <c r="F55" s="15"/>
    </row>
    <row r="56" spans="2:6">
      <c r="B56" s="15"/>
      <c r="F56" s="15"/>
    </row>
    <row r="57" spans="2:6">
      <c r="B57" s="15"/>
      <c r="F57" s="15"/>
    </row>
    <row r="58" spans="2:6">
      <c r="B58" s="15"/>
      <c r="F58" s="15"/>
    </row>
    <row r="59" spans="2:6">
      <c r="B59" s="15"/>
      <c r="F59" s="15"/>
    </row>
    <row r="60" spans="2:6">
      <c r="B60" s="15"/>
      <c r="F60" s="15"/>
    </row>
    <row r="61" spans="2:6">
      <c r="B61" s="15"/>
      <c r="F61" s="15"/>
    </row>
    <row r="62" spans="2:6">
      <c r="B62" s="15"/>
      <c r="F62" s="15"/>
    </row>
    <row r="63" spans="2:6">
      <c r="B63" s="15"/>
      <c r="F63" s="15"/>
    </row>
    <row r="64" spans="2: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</sheetData>
  <phoneticPr fontId="7" type="noConversion"/>
  <hyperlinks>
    <hyperlink ref="P32" r:id="rId1" display="http://www.bav-astro.de/sfs/BAVM_link.php?BAVMnr=59"/>
    <hyperlink ref="P33" r:id="rId2" display="http://www.bav-astro.de/sfs/BAVM_link.php?BAVMnr=59"/>
    <hyperlink ref="P34" r:id="rId3" display="http://www.bav-astro.de/sfs/BAVM_link.php?BAVMnr=59"/>
    <hyperlink ref="P35" r:id="rId4" display="http://www.bav-astro.de/sfs/BAVM_link.php?BAVMnr=59"/>
    <hyperlink ref="P36" r:id="rId5" display="http://www.bav-astro.de/sfs/BAVM_link.php?BAVMnr=68"/>
    <hyperlink ref="P37" r:id="rId6" display="http://www.bav-astro.de/sfs/BAVM_link.php?BAVMnr=68"/>
    <hyperlink ref="P11" r:id="rId7" display="http://www.bav-astro.de/sfs/BAVM_link.php?BAVMnr=117"/>
    <hyperlink ref="P38" r:id="rId8" display="http://www.konkoly.hu/cgi-bin/IBVS?5040"/>
    <hyperlink ref="P12" r:id="rId9" display="http://www.bav-astro.de/sfs/BAVM_link.php?BAVMnr=172"/>
    <hyperlink ref="P13" r:id="rId10" display="http://www.konkoly.hu/cgi-bin/IBVS?5493"/>
    <hyperlink ref="P14" r:id="rId11" display="http://www.bav-astro.de/sfs/BAVM_link.php?BAVMnr=178"/>
    <hyperlink ref="P15" r:id="rId12" display="http://www.bav-astro.de/sfs/BAVM_link.php?BAVMnr=178"/>
    <hyperlink ref="P16" r:id="rId13" display="http://www.bav-astro.de/sfs/BAVM_link.php?BAVMnr=186"/>
    <hyperlink ref="P39" r:id="rId14" display="http://www.bav-astro.de/sfs/BAVM_link.php?BAVMnr=203"/>
    <hyperlink ref="P17" r:id="rId15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2024-01-31T04:05:28Z</dcterms:modified>
</cp:coreProperties>
</file>