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456C8F9-0377-4EDC-BC23-CCC137C026B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6" i="1" l="1"/>
  <c r="F36" i="1"/>
  <c r="G36" i="1"/>
  <c r="K36" i="1"/>
  <c r="Q36" i="1"/>
  <c r="E37" i="1"/>
  <c r="F37" i="1"/>
  <c r="G37" i="1"/>
  <c r="K37" i="1"/>
  <c r="Q37" i="1"/>
  <c r="Q33" i="1"/>
  <c r="D9" i="1"/>
  <c r="C9" i="1"/>
  <c r="Q32" i="1"/>
  <c r="Q29" i="1"/>
  <c r="Q28" i="1"/>
  <c r="Q27" i="1"/>
  <c r="Q26" i="1"/>
  <c r="Q25" i="1"/>
  <c r="Q24" i="1"/>
  <c r="Q23" i="1"/>
  <c r="Q21" i="1"/>
  <c r="G14" i="2"/>
  <c r="C14" i="2"/>
  <c r="G13" i="2"/>
  <c r="C13" i="2"/>
  <c r="G24" i="2"/>
  <c r="C24" i="2"/>
  <c r="G23" i="2"/>
  <c r="C23" i="2"/>
  <c r="G12" i="2"/>
  <c r="C12" i="2"/>
  <c r="G11" i="2"/>
  <c r="C11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H14" i="2"/>
  <c r="D14" i="2"/>
  <c r="B14" i="2"/>
  <c r="A14" i="2"/>
  <c r="H13" i="2"/>
  <c r="D13" i="2"/>
  <c r="B13" i="2"/>
  <c r="A13" i="2"/>
  <c r="H24" i="2"/>
  <c r="D24" i="2"/>
  <c r="B24" i="2"/>
  <c r="A24" i="2"/>
  <c r="H23" i="2"/>
  <c r="D23" i="2"/>
  <c r="B23" i="2"/>
  <c r="A23" i="2"/>
  <c r="H12" i="2"/>
  <c r="D12" i="2"/>
  <c r="B12" i="2"/>
  <c r="A12" i="2"/>
  <c r="H11" i="2"/>
  <c r="D11" i="2"/>
  <c r="B11" i="2"/>
  <c r="A11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Q34" i="1"/>
  <c r="Q35" i="1"/>
  <c r="F16" i="1"/>
  <c r="F17" i="1" s="1"/>
  <c r="C17" i="1"/>
  <c r="Q30" i="1"/>
  <c r="Q31" i="1"/>
  <c r="C8" i="1"/>
  <c r="C7" i="1"/>
  <c r="E32" i="1"/>
  <c r="F32" i="1"/>
  <c r="Q22" i="1"/>
  <c r="E11" i="2"/>
  <c r="E19" i="2"/>
  <c r="E12" i="2"/>
  <c r="E23" i="2"/>
  <c r="E25" i="1"/>
  <c r="E35" i="1"/>
  <c r="F35" i="1"/>
  <c r="G35" i="1"/>
  <c r="K35" i="1"/>
  <c r="G32" i="1"/>
  <c r="K32" i="1"/>
  <c r="G24" i="1"/>
  <c r="H24" i="1"/>
  <c r="E21" i="1"/>
  <c r="F21" i="1"/>
  <c r="E30" i="1"/>
  <c r="F30" i="1"/>
  <c r="G30" i="1"/>
  <c r="J30" i="1"/>
  <c r="E27" i="1"/>
  <c r="F27" i="1"/>
  <c r="G27" i="1"/>
  <c r="H27" i="1"/>
  <c r="E31" i="1"/>
  <c r="F31" i="1"/>
  <c r="E24" i="1"/>
  <c r="F24" i="1"/>
  <c r="E34" i="1"/>
  <c r="F34" i="1"/>
  <c r="G34" i="1"/>
  <c r="J34" i="1"/>
  <c r="E29" i="1"/>
  <c r="G23" i="1"/>
  <c r="H23" i="1"/>
  <c r="E33" i="1"/>
  <c r="G21" i="1"/>
  <c r="H21" i="1"/>
  <c r="G31" i="1"/>
  <c r="J31" i="1"/>
  <c r="E22" i="1"/>
  <c r="F22" i="1"/>
  <c r="G22" i="1"/>
  <c r="E26" i="1"/>
  <c r="F26" i="1"/>
  <c r="G26" i="1"/>
  <c r="H26" i="1"/>
  <c r="E28" i="1"/>
  <c r="E23" i="1"/>
  <c r="F23" i="1"/>
  <c r="H22" i="1"/>
  <c r="F29" i="1"/>
  <c r="G29" i="1"/>
  <c r="H29" i="1"/>
  <c r="E22" i="2"/>
  <c r="E16" i="2"/>
  <c r="E24" i="2"/>
  <c r="F33" i="1"/>
  <c r="G33" i="1"/>
  <c r="K33" i="1"/>
  <c r="F25" i="1"/>
  <c r="G25" i="1"/>
  <c r="E18" i="2"/>
  <c r="E14" i="2"/>
  <c r="E20" i="2"/>
  <c r="E13" i="2"/>
  <c r="F28" i="1"/>
  <c r="G28" i="1"/>
  <c r="H28" i="1"/>
  <c r="E21" i="2"/>
  <c r="E15" i="2"/>
  <c r="E17" i="2"/>
  <c r="H25" i="1"/>
  <c r="C11" i="1"/>
  <c r="C12" i="1"/>
  <c r="C16" i="1" l="1"/>
  <c r="D18" i="1" s="1"/>
  <c r="C15" i="1"/>
  <c r="F18" i="1" s="1"/>
  <c r="O30" i="1"/>
  <c r="O21" i="1"/>
  <c r="O28" i="1"/>
  <c r="O32" i="1"/>
  <c r="O34" i="1"/>
  <c r="O31" i="1"/>
  <c r="O36" i="1"/>
  <c r="O22" i="1"/>
  <c r="O33" i="1"/>
  <c r="O29" i="1"/>
  <c r="O26" i="1"/>
  <c r="O24" i="1"/>
  <c r="O23" i="1"/>
  <c r="O25" i="1"/>
  <c r="O37" i="1"/>
  <c r="O35" i="1"/>
  <c r="O27" i="1"/>
  <c r="F19" i="1" l="1"/>
  <c r="C18" i="1"/>
</calcChain>
</file>

<file path=xl/sharedStrings.xml><?xml version="1.0" encoding="utf-8"?>
<sst xmlns="http://schemas.openxmlformats.org/spreadsheetml/2006/main" count="204" uniqueCount="113">
  <si>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</si>
  <si>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</si>
  <si>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</si>
  <si>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</si>
  <si>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</si>
  <si>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</si>
  <si>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</si>
  <si>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</si>
  <si>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</si>
  <si>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</si>
  <si>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</si>
  <si>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</si>
  <si>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</si>
  <si>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</si>
  <si>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</si>
  <si>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</si>
  <si>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</si>
  <si>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</si>
  <si>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</si>
  <si>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</si>
  <si>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</si>
  <si>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</si>
  <si>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</si>
  <si>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</si>
  <si>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</si>
  <si>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</si>
  <si>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</si>
  <si>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</si>
  <si>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</si>
  <si>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EA/DM</t>
  </si>
  <si>
    <t>IBVS 5731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</si>
  <si>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</si>
  <si>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</si>
  <si>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</si>
  <si>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</si>
  <si>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</si>
  <si>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</si>
  <si>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</si>
  <si>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</si>
  <si>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6011</t>
  </si>
  <si>
    <t>I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</si>
  <si>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</si>
  <si>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</si>
  <si>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</si>
  <si>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</si>
  <si>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</si>
  <si>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</si>
  <si>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</si>
  <si>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</si>
  <si>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</si>
  <si>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</si>
  <si>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</si>
  <si>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</si>
  <si>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2429102.53 </t>
  </si>
  <si>
    <t> 23.07.1938 00:43 </t>
  </si>
  <si>
    <t> -0.03 </t>
  </si>
  <si>
    <t>P </t>
  </si>
  <si>
    <t> C.Hoffmeister </t>
  </si>
  <si>
    <t> VSS 1.306 </t>
  </si>
  <si>
    <t>2429135.43 </t>
  </si>
  <si>
    <t> 24.08.1938 22:19 </t>
  </si>
  <si>
    <t> 0.04 </t>
  </si>
  <si>
    <t>2429230.36 </t>
  </si>
  <si>
    <t> 27.11.1938 20:38 </t>
  </si>
  <si>
    <t> -0.01 </t>
  </si>
  <si>
    <t>2429243.26 </t>
  </si>
  <si>
    <t> 10.12.1938 18:14 </t>
  </si>
  <si>
    <t>2429250.29 </t>
  </si>
  <si>
    <t> 17.12.1938 18:57 </t>
  </si>
  <si>
    <t>2429407.44 </t>
  </si>
  <si>
    <t> 23.05.1939 22:33 </t>
  </si>
  <si>
    <t> 0.02 </t>
  </si>
  <si>
    <t>2429569.27 </t>
  </si>
  <si>
    <t> 01.11.1939 18:28 </t>
  </si>
  <si>
    <t>2429576.24 </t>
  </si>
  <si>
    <t> 08.11.1939 17:45 </t>
  </si>
  <si>
    <t>2453601.4683 </t>
  </si>
  <si>
    <t> 18.08.2005 23:14 </t>
  </si>
  <si>
    <t> -3.8586 </t>
  </si>
  <si>
    <t>C </t>
  </si>
  <si>
    <t>-I</t>
  </si>
  <si>
    <t> Agerer </t>
  </si>
  <si>
    <t>BAVM 178 </t>
  </si>
  <si>
    <t>2453621.4022 </t>
  </si>
  <si>
    <t> 07.09.2005 21:39 </t>
  </si>
  <si>
    <t>10457</t>
  </si>
  <si>
    <t> -3.8580 </t>
  </si>
  <si>
    <t>2455075.4786 </t>
  </si>
  <si>
    <t> 31.08.2009 23:29 </t>
  </si>
  <si>
    <t>11077</t>
  </si>
  <si>
    <t> -3.7430 </t>
  </si>
  <si>
    <t> F.Agerer </t>
  </si>
  <si>
    <t>BAVM 212 </t>
  </si>
  <si>
    <t>2455102.4484 </t>
  </si>
  <si>
    <t> 27.09.2009 22:45 </t>
  </si>
  <si>
    <t>11088.5</t>
  </si>
  <si>
    <t> -3.7419 </t>
  </si>
  <si>
    <t>o</t>
  </si>
  <si>
    <t> U.Schmidt </t>
  </si>
  <si>
    <t>2455462.4512 </t>
  </si>
  <si>
    <t> 22.09.2010 22:49 </t>
  </si>
  <si>
    <t>11242</t>
  </si>
  <si>
    <t> -3.7118 </t>
  </si>
  <si>
    <t>BAVM 215 </t>
  </si>
  <si>
    <t>2455844.7365 </t>
  </si>
  <si>
    <t> 10.10.2011 05:40 </t>
  </si>
  <si>
    <t>11405</t>
  </si>
  <si>
    <t> -3.6776 </t>
  </si>
  <si>
    <t> R.Diethelm </t>
  </si>
  <si>
    <t>IBVS 6011 </t>
  </si>
  <si>
    <t>II</t>
  </si>
  <si>
    <t>JAVSO 49, 106</t>
  </si>
  <si>
    <t>V0519 Cyg / GSC 03575-02497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</si>
</sst>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8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9" fillId="2" borderId="0" xfId="0" applyFont="1" applyFill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17" fillId="3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5" fillId="4" borderId="0" xfId="0" applyFont="1" applyFill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6" fillId="0" borderId="0" xfId="0" applyFont="1" applyFill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V0519 Cyg - O-C Diagr.</a:t>
            </a:r>
          </a:p>
        </c:rich>
      </c:tx>
      <c:layout>
        <c:manualLayout>
          <c:xMode val="edge"/>
          <c:yMode val="edge"/>
          <c:x val="0.36348983840670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-3.0000000002473826E-2</c:v>
                </c:pt>
                <c:pt idx="1">
                  <c:v>0</c:v>
                </c:pt>
                <c:pt idx="2">
                  <c:v>3.8613999997323845E-2</c:v>
                </c:pt>
                <c:pt idx="3">
                  <c:v>-7.8954999989946373E-3</c:v>
                </c:pt>
                <c:pt idx="4">
                  <c:v>-5.9400000027380884E-3</c:v>
                </c:pt>
                <c:pt idx="5">
                  <c:v>-1.1236999998800457E-2</c:v>
                </c:pt>
                <c:pt idx="6">
                  <c:v>1.7129999996541301E-2</c:v>
                </c:pt>
                <c:pt idx="7">
                  <c:v>3.5298999999213265E-2</c:v>
                </c:pt>
                <c:pt idx="8">
                  <c:v>-2.9997999998158775E-2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3C-48AE-851E-4E7E363368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3C-48AE-851E-4E7E363368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9">
                  <c:v>2.0041459999993094</c:v>
                </c:pt>
                <c:pt idx="10">
                  <c:v>2.0047044999955688</c:v>
                </c:pt>
                <c:pt idx="13">
                  <c:v>2.1509895000053803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3C-48AE-851E-4E7E363368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1">
                  <c:v>2.1197245000075782</c:v>
                </c:pt>
                <c:pt idx="12">
                  <c:v>2.1208859999969718</c:v>
                </c:pt>
                <c:pt idx="14">
                  <c:v>2.1851524999947287</c:v>
                </c:pt>
                <c:pt idx="15">
                  <c:v>2.4248310001930804</c:v>
                </c:pt>
                <c:pt idx="16">
                  <c:v>2.4233320001876564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3C-48AE-851E-4E7E363368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3C-48AE-851E-4E7E363368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3C-48AE-851E-4E7E363368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3C-48AE-851E-4E7E363368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-1.277202535328481E-2</c:v>
                </c:pt>
                <c:pt idx="1">
                  <c:v>-1.277202535328481E-2</c:v>
                </c:pt>
                <c:pt idx="2">
                  <c:v>-1.007397037877965E-2</c:v>
                </c:pt>
                <c:pt idx="3">
                  <c:v>-2.2688827739611502E-3</c:v>
                </c:pt>
                <c:pt idx="4">
                  <c:v>-1.2089326054055514E-3</c:v>
                </c:pt>
                <c:pt idx="5">
                  <c:v>-6.3077796801158832E-4</c:v>
                </c:pt>
                <c:pt idx="6">
                  <c:v>1.2281342267120254E-2</c:v>
                </c:pt>
                <c:pt idx="7">
                  <c:v>2.5578898927181404E-2</c:v>
                </c:pt>
                <c:pt idx="8">
                  <c:v>2.6157053564575365E-2</c:v>
                </c:pt>
                <c:pt idx="9">
                  <c:v>2.0003624220524943</c:v>
                </c:pt>
                <c:pt idx="10">
                  <c:v>2.0020005268584438</c:v>
                </c:pt>
                <c:pt idx="11">
                  <c:v>2.1214858185865295</c:v>
                </c:pt>
                <c:pt idx="12">
                  <c:v>2.123702078029873</c:v>
                </c:pt>
                <c:pt idx="13">
                  <c:v>2.1532843236431973</c:v>
                </c:pt>
                <c:pt idx="14">
                  <c:v>2.184697392274936</c:v>
                </c:pt>
                <c:pt idx="15">
                  <c:v>2.4235716166248751</c:v>
                </c:pt>
                <c:pt idx="16">
                  <c:v>2.4235716166248751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3C-48AE-851E-4E7E36336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035920"/>
        <c:axId val="1"/>
      </c:scatterChart>
      <c:valAx>
        <c:axId val="72703592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1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035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94039577847599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V0519 Cyg - O-C Diagr.</a:t>
            </a:r>
          </a:p>
        </c:rich>
      </c:tx>
      <c:layout>
        <c:manualLayout>
          <c:xMode val="edge"/>
          <c:yMode val="edge"/>
          <c:x val="0.3629032258064516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19354838709677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-3.0000000002473826E-2</c:v>
                </c:pt>
                <c:pt idx="1">
                  <c:v>0</c:v>
                </c:pt>
                <c:pt idx="2">
                  <c:v>3.8613999997323845E-2</c:v>
                </c:pt>
                <c:pt idx="3">
                  <c:v>-7.8954999989946373E-3</c:v>
                </c:pt>
                <c:pt idx="4">
                  <c:v>-5.9400000027380884E-3</c:v>
                </c:pt>
                <c:pt idx="5">
                  <c:v>-1.1236999998800457E-2</c:v>
                </c:pt>
                <c:pt idx="6">
                  <c:v>1.7129999996541301E-2</c:v>
                </c:pt>
                <c:pt idx="7">
                  <c:v>3.5298999999213265E-2</c:v>
                </c:pt>
                <c:pt idx="8">
                  <c:v>-2.9997999998158775E-2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BD-4836-921E-FFCC3A86B3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BD-4836-921E-FFCC3A86B3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9">
                  <c:v>2.0041459999993094</c:v>
                </c:pt>
                <c:pt idx="10">
                  <c:v>2.0047044999955688</c:v>
                </c:pt>
                <c:pt idx="13">
                  <c:v>2.1509895000053803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BD-4836-921E-FFCC3A86B3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1">
                  <c:v>2.1197245000075782</c:v>
                </c:pt>
                <c:pt idx="12">
                  <c:v>2.1208859999969718</c:v>
                </c:pt>
                <c:pt idx="14">
                  <c:v>2.1851524999947287</c:v>
                </c:pt>
                <c:pt idx="15">
                  <c:v>2.4248310001930804</c:v>
                </c:pt>
                <c:pt idx="16">
                  <c:v>2.4233320001876564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BD-4836-921E-FFCC3A86B3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BD-4836-921E-FFCC3A86B3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BD-4836-921E-FFCC3A86B3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1.1999999999999999E-3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4.3E-3</c:v>
                  </c:pt>
                  <c:pt idx="14">
                    <c:v>5.0000000000000001E-4</c:v>
                  </c:pt>
                  <c:pt idx="15">
                    <c:v>2.2599999999999999E-4</c:v>
                  </c:pt>
                  <c:pt idx="16">
                    <c:v>9.7999999999999997E-5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BD-4836-921E-FFCC3A86B3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54.5</c:v>
                </c:pt>
                <c:pt idx="4">
                  <c:v>60</c:v>
                </c:pt>
                <c:pt idx="5">
                  <c:v>63</c:v>
                </c:pt>
                <c:pt idx="6">
                  <c:v>130</c:v>
                </c:pt>
                <c:pt idx="7">
                  <c:v>199</c:v>
                </c:pt>
                <c:pt idx="8">
                  <c:v>202</c:v>
                </c:pt>
                <c:pt idx="9">
                  <c:v>10446</c:v>
                </c:pt>
                <c:pt idx="10">
                  <c:v>10454.5</c:v>
                </c:pt>
                <c:pt idx="11">
                  <c:v>11074.5</c:v>
                </c:pt>
                <c:pt idx="12">
                  <c:v>11086</c:v>
                </c:pt>
                <c:pt idx="13">
                  <c:v>11239.5</c:v>
                </c:pt>
                <c:pt idx="14">
                  <c:v>11402.5</c:v>
                </c:pt>
                <c:pt idx="15">
                  <c:v>12642</c:v>
                </c:pt>
                <c:pt idx="16">
                  <c:v>12642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-1.277202535328481E-2</c:v>
                </c:pt>
                <c:pt idx="1">
                  <c:v>-1.277202535328481E-2</c:v>
                </c:pt>
                <c:pt idx="2">
                  <c:v>-1.007397037877965E-2</c:v>
                </c:pt>
                <c:pt idx="3">
                  <c:v>-2.2688827739611502E-3</c:v>
                </c:pt>
                <c:pt idx="4">
                  <c:v>-1.2089326054055514E-3</c:v>
                </c:pt>
                <c:pt idx="5">
                  <c:v>-6.3077796801158832E-4</c:v>
                </c:pt>
                <c:pt idx="6">
                  <c:v>1.2281342267120254E-2</c:v>
                </c:pt>
                <c:pt idx="7">
                  <c:v>2.5578898927181404E-2</c:v>
                </c:pt>
                <c:pt idx="8">
                  <c:v>2.6157053564575365E-2</c:v>
                </c:pt>
                <c:pt idx="9">
                  <c:v>2.0003624220524943</c:v>
                </c:pt>
                <c:pt idx="10">
                  <c:v>2.0020005268584438</c:v>
                </c:pt>
                <c:pt idx="11">
                  <c:v>2.1214858185865295</c:v>
                </c:pt>
                <c:pt idx="12">
                  <c:v>2.123702078029873</c:v>
                </c:pt>
                <c:pt idx="13">
                  <c:v>2.1532843236431973</c:v>
                </c:pt>
                <c:pt idx="14">
                  <c:v>2.184697392274936</c:v>
                </c:pt>
                <c:pt idx="15">
                  <c:v>2.4235716166248751</c:v>
                </c:pt>
                <c:pt idx="16">
                  <c:v>2.4235716166248751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BD-4836-921E-FFCC3A86B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275928"/>
        <c:axId val="1"/>
      </c:scatterChart>
      <c:valAx>
        <c:axId val="889275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275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8064516129034"/>
          <c:y val="0.92097264437689974"/>
          <c:w val="0.6741935483870966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19050</xdr:rowOff>
    </xdr:from>
    <xdr:to>
      <xdr:col>17</xdr:col>
      <xdr:colOff>476250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420060D-AE3D-2D0B-84AE-ABDF8A194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571500</xdr:colOff>
      <xdr:row>0</xdr:row>
      <xdr:rowOff>28575</xdr:rowOff>
    </xdr:from>
    <xdr:to>
      <xdr:col>27</xdr:col>
      <xdr:colOff>152400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962A8C0-10DC-4E02-4E7F-EFC53CC3C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78" TargetMode="External"/><Relationship Id="rId6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112</v>
      </c>
    </row>
    <row r="2" spans="1:6" x14ac:dyDescent="0.2">
      <c r="A2" t="s">
        <v>24</v>
      </c>
      <c r="B2" s="11" t="s">
        <v>29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29102.560000000001</v>
      </c>
      <c r="D4" s="9">
        <v>2.3450989999999998</v>
      </c>
    </row>
    <row r="5" spans="1:6" ht="13.5" thickTop="1" x14ac:dyDescent="0.2">
      <c r="A5" s="15" t="s">
        <v>31</v>
      </c>
      <c r="B5" s="11"/>
      <c r="C5" s="16">
        <v>-9.5</v>
      </c>
      <c r="D5" s="11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29102.560000000001</v>
      </c>
    </row>
    <row r="8" spans="1:6" x14ac:dyDescent="0.2">
      <c r="A8" t="s">
        <v>3</v>
      </c>
      <c r="C8">
        <f>+D4</f>
        <v>2.3450989999999998</v>
      </c>
    </row>
    <row r="9" spans="1:6" x14ac:dyDescent="0.2">
      <c r="A9" s="29" t="s">
        <v>38</v>
      </c>
      <c r="B9" s="30">
        <v>22</v>
      </c>
      <c r="C9" s="18" t="str">
        <f>"F"&amp;B9</f>
        <v>F22</v>
      </c>
      <c r="D9" s="19" t="str">
        <f>"G"&amp;B9</f>
        <v>G22</v>
      </c>
    </row>
    <row r="10" spans="1:6" ht="13.5" thickBot="1" x14ac:dyDescent="0.25">
      <c r="A10" s="11"/>
      <c r="B10" s="11"/>
      <c r="C10" s="4" t="s">
        <v>20</v>
      </c>
      <c r="D10" s="4" t="s">
        <v>21</v>
      </c>
      <c r="E10" s="11"/>
    </row>
    <row r="11" spans="1:6" x14ac:dyDescent="0.2">
      <c r="A11" s="11" t="s">
        <v>16</v>
      </c>
      <c r="B11" s="11"/>
      <c r="C11" s="17">
        <f ca="1">INTERCEPT(INDIRECT($D$9):G992,INDIRECT($C$9):F992)</f>
        <v>-1.277202535328481E-2</v>
      </c>
      <c r="D11" s="3"/>
      <c r="E11" s="11"/>
    </row>
    <row r="12" spans="1:6" x14ac:dyDescent="0.2">
      <c r="A12" s="11" t="s">
        <v>17</v>
      </c>
      <c r="B12" s="11"/>
      <c r="C12" s="17">
        <f ca="1">SLOPE(INDIRECT($D$9):G992,INDIRECT($C$9):F992)</f>
        <v>1.9271821246465433E-4</v>
      </c>
      <c r="D12" s="3"/>
      <c r="E12" s="11"/>
    </row>
    <row r="13" spans="1:6" x14ac:dyDescent="0.2">
      <c r="A13" s="11" t="s">
        <v>19</v>
      </c>
      <c r="B13" s="11"/>
      <c r="C13" s="3" t="s">
        <v>14</v>
      </c>
    </row>
    <row r="14" spans="1:6" x14ac:dyDescent="0.2">
      <c r="A14" s="11"/>
      <c r="B14" s="11"/>
      <c r="C14" s="11"/>
    </row>
    <row r="15" spans="1:6" x14ac:dyDescent="0.2">
      <c r="A15" s="22" t="s">
        <v>18</v>
      </c>
      <c r="B15" s="11"/>
      <c r="C15" s="23">
        <f ca="1">(C7+C11)+(C8+C12)*INT(MAX(F21:F3533))</f>
        <v>58751.725129616621</v>
      </c>
      <c r="E15" s="20" t="s">
        <v>33</v>
      </c>
      <c r="F15" s="16">
        <v>1</v>
      </c>
    </row>
    <row r="16" spans="1:6" x14ac:dyDescent="0.2">
      <c r="A16" s="24" t="s">
        <v>4</v>
      </c>
      <c r="B16" s="11"/>
      <c r="C16" s="25">
        <f ca="1">+C8+C12</f>
        <v>2.3452917182124646</v>
      </c>
      <c r="E16" s="20" t="s">
        <v>34</v>
      </c>
      <c r="F16" s="21">
        <f ca="1">NOW()+15018.5+$C$5/24</f>
        <v>60340.71291574074</v>
      </c>
    </row>
    <row r="17" spans="1:17" ht="13.5" thickBot="1" x14ac:dyDescent="0.25">
      <c r="A17" s="20" t="s">
        <v>28</v>
      </c>
      <c r="B17" s="11"/>
      <c r="C17" s="11">
        <f>COUNT(C21:C2191)</f>
        <v>17</v>
      </c>
      <c r="E17" s="20" t="s">
        <v>35</v>
      </c>
      <c r="F17" s="21">
        <f ca="1">ROUND(2*(F16-$C$7)/$C$8,0)/2+F15</f>
        <v>13321.5</v>
      </c>
    </row>
    <row r="18" spans="1:17" ht="14.25" thickTop="1" thickBot="1" x14ac:dyDescent="0.25">
      <c r="A18" s="24" t="s">
        <v>5</v>
      </c>
      <c r="B18" s="11"/>
      <c r="C18" s="27">
        <f ca="1">+C15</f>
        <v>58751.725129616621</v>
      </c>
      <c r="D18" s="28">
        <f ca="1">+C16</f>
        <v>2.3452917182124646</v>
      </c>
      <c r="E18" s="20" t="s">
        <v>36</v>
      </c>
      <c r="F18" s="19">
        <f ca="1">ROUND(2*(F16-$C$15)/$C$16,0)/2+F15</f>
        <v>678.5</v>
      </c>
    </row>
    <row r="19" spans="1:17" ht="13.5" thickTop="1" x14ac:dyDescent="0.2">
      <c r="E19" s="20" t="s">
        <v>37</v>
      </c>
      <c r="F19" s="26">
        <f ca="1">+$C$15+$C$16*F18-15018.5-$C$5/24</f>
        <v>45324.901393757114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46</v>
      </c>
      <c r="K20" s="7" t="s">
        <v>44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50" t="s">
        <v>58</v>
      </c>
      <c r="B21" s="51" t="s">
        <v>40</v>
      </c>
      <c r="C21" s="50">
        <v>29102.53</v>
      </c>
      <c r="D21" s="50" t="s">
        <v>52</v>
      </c>
      <c r="E21">
        <f t="shared" ref="E21:E35" si="0">+(C21-C$7)/C$8</f>
        <v>-1.2792636900392618E-2</v>
      </c>
      <c r="F21">
        <f t="shared" ref="F21:F29" si="1">ROUND(2*E21,0)/2</f>
        <v>0</v>
      </c>
      <c r="G21">
        <f t="shared" ref="G21:G35" si="2">+C21-(C$7+F21*C$8)</f>
        <v>-3.0000000002473826E-2</v>
      </c>
      <c r="H21">
        <f t="shared" ref="H21:H29" si="3">+G21</f>
        <v>-3.0000000002473826E-2</v>
      </c>
      <c r="O21">
        <f t="shared" ref="O21:O35" ca="1" si="4">+C$11+C$12*$F21</f>
        <v>-1.277202535328481E-2</v>
      </c>
      <c r="Q21" s="2">
        <f t="shared" ref="Q21:Q35" si="5">+C21-15018.5</f>
        <v>14084.029999999999</v>
      </c>
    </row>
    <row r="22" spans="1:17" x14ac:dyDescent="0.2">
      <c r="A22" t="s">
        <v>12</v>
      </c>
      <c r="C22" s="10">
        <v>29102.560000000001</v>
      </c>
      <c r="D22" s="10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 t="shared" si="3"/>
        <v>0</v>
      </c>
      <c r="O22">
        <f t="shared" ca="1" si="4"/>
        <v>-1.277202535328481E-2</v>
      </c>
      <c r="Q22" s="2">
        <f t="shared" si="5"/>
        <v>14084.060000000001</v>
      </c>
    </row>
    <row r="23" spans="1:17" x14ac:dyDescent="0.2">
      <c r="A23" s="50" t="s">
        <v>58</v>
      </c>
      <c r="B23" s="51" t="s">
        <v>40</v>
      </c>
      <c r="C23" s="50">
        <v>29135.43</v>
      </c>
      <c r="D23" s="50" t="s">
        <v>52</v>
      </c>
      <c r="E23">
        <f t="shared" si="0"/>
        <v>14.016465829373935</v>
      </c>
      <c r="F23">
        <f t="shared" si="1"/>
        <v>14</v>
      </c>
      <c r="G23">
        <f t="shared" si="2"/>
        <v>3.8613999997323845E-2</v>
      </c>
      <c r="H23">
        <f t="shared" si="3"/>
        <v>3.8613999997323845E-2</v>
      </c>
      <c r="O23">
        <f t="shared" ca="1" si="4"/>
        <v>-1.007397037877965E-2</v>
      </c>
      <c r="Q23" s="2">
        <f t="shared" si="5"/>
        <v>14116.93</v>
      </c>
    </row>
    <row r="24" spans="1:17" x14ac:dyDescent="0.2">
      <c r="A24" s="50" t="s">
        <v>58</v>
      </c>
      <c r="B24" s="51" t="s">
        <v>110</v>
      </c>
      <c r="C24" s="50">
        <v>29230.36</v>
      </c>
      <c r="D24" s="50" t="s">
        <v>52</v>
      </c>
      <c r="E24">
        <f t="shared" si="0"/>
        <v>54.496633191178404</v>
      </c>
      <c r="F24">
        <f t="shared" si="1"/>
        <v>54.5</v>
      </c>
      <c r="G24">
        <f t="shared" si="2"/>
        <v>-7.8954999989946373E-3</v>
      </c>
      <c r="H24">
        <f t="shared" si="3"/>
        <v>-7.8954999989946373E-3</v>
      </c>
      <c r="O24">
        <f t="shared" ca="1" si="4"/>
        <v>-2.2688827739611502E-3</v>
      </c>
      <c r="Q24" s="2">
        <f t="shared" si="5"/>
        <v>14211.86</v>
      </c>
    </row>
    <row r="25" spans="1:17" x14ac:dyDescent="0.2">
      <c r="A25" s="50" t="s">
        <v>58</v>
      </c>
      <c r="B25" s="51" t="s">
        <v>40</v>
      </c>
      <c r="C25" s="50">
        <v>29243.26</v>
      </c>
      <c r="D25" s="50" t="s">
        <v>52</v>
      </c>
      <c r="E25">
        <f t="shared" si="0"/>
        <v>59.997467057892692</v>
      </c>
      <c r="F25">
        <f t="shared" si="1"/>
        <v>60</v>
      </c>
      <c r="G25">
        <f t="shared" si="2"/>
        <v>-5.9400000027380884E-3</v>
      </c>
      <c r="H25">
        <f t="shared" si="3"/>
        <v>-5.9400000027380884E-3</v>
      </c>
      <c r="O25">
        <f t="shared" ca="1" si="4"/>
        <v>-1.2089326054055514E-3</v>
      </c>
      <c r="Q25" s="2">
        <f t="shared" si="5"/>
        <v>14224.759999999998</v>
      </c>
    </row>
    <row r="26" spans="1:17" x14ac:dyDescent="0.2">
      <c r="A26" s="50" t="s">
        <v>58</v>
      </c>
      <c r="B26" s="51" t="s">
        <v>40</v>
      </c>
      <c r="C26" s="50">
        <v>29250.29</v>
      </c>
      <c r="D26" s="50" t="s">
        <v>52</v>
      </c>
      <c r="E26">
        <f t="shared" si="0"/>
        <v>62.99520830463856</v>
      </c>
      <c r="F26">
        <f t="shared" si="1"/>
        <v>63</v>
      </c>
      <c r="G26">
        <f t="shared" si="2"/>
        <v>-1.1236999998800457E-2</v>
      </c>
      <c r="H26">
        <f t="shared" si="3"/>
        <v>-1.1236999998800457E-2</v>
      </c>
      <c r="O26">
        <f t="shared" ca="1" si="4"/>
        <v>-6.3077796801158832E-4</v>
      </c>
      <c r="Q26" s="2">
        <f t="shared" si="5"/>
        <v>14231.79</v>
      </c>
    </row>
    <row r="27" spans="1:17" x14ac:dyDescent="0.2">
      <c r="A27" s="50" t="s">
        <v>58</v>
      </c>
      <c r="B27" s="51" t="s">
        <v>40</v>
      </c>
      <c r="C27" s="50">
        <v>29407.439999999999</v>
      </c>
      <c r="D27" s="50" t="s">
        <v>52</v>
      </c>
      <c r="E27">
        <f t="shared" si="0"/>
        <v>130.00730459566842</v>
      </c>
      <c r="F27">
        <f t="shared" si="1"/>
        <v>130</v>
      </c>
      <c r="G27">
        <f t="shared" si="2"/>
        <v>1.7129999996541301E-2</v>
      </c>
      <c r="H27">
        <f t="shared" si="3"/>
        <v>1.7129999996541301E-2</v>
      </c>
      <c r="O27">
        <f t="shared" ca="1" si="4"/>
        <v>1.2281342267120254E-2</v>
      </c>
      <c r="Q27" s="2">
        <f t="shared" si="5"/>
        <v>14388.939999999999</v>
      </c>
    </row>
    <row r="28" spans="1:17" x14ac:dyDescent="0.2">
      <c r="A28" s="50" t="s">
        <v>58</v>
      </c>
      <c r="B28" s="51" t="s">
        <v>40</v>
      </c>
      <c r="C28" s="50">
        <v>29569.27</v>
      </c>
      <c r="D28" s="50" t="s">
        <v>52</v>
      </c>
      <c r="E28">
        <f t="shared" si="0"/>
        <v>199.01505224299663</v>
      </c>
      <c r="F28">
        <f t="shared" si="1"/>
        <v>199</v>
      </c>
      <c r="G28">
        <f t="shared" si="2"/>
        <v>3.5298999999213265E-2</v>
      </c>
      <c r="H28">
        <f t="shared" si="3"/>
        <v>3.5298999999213265E-2</v>
      </c>
      <c r="O28">
        <f t="shared" ca="1" si="4"/>
        <v>2.5578898927181404E-2</v>
      </c>
      <c r="Q28" s="2">
        <f t="shared" si="5"/>
        <v>14550.77</v>
      </c>
    </row>
    <row r="29" spans="1:17" x14ac:dyDescent="0.2">
      <c r="A29" s="50" t="s">
        <v>58</v>
      </c>
      <c r="B29" s="51" t="s">
        <v>40</v>
      </c>
      <c r="C29" s="50">
        <v>29576.240000000002</v>
      </c>
      <c r="D29" s="50" t="s">
        <v>52</v>
      </c>
      <c r="E29">
        <f t="shared" si="0"/>
        <v>201.98720821594327</v>
      </c>
      <c r="F29">
        <f t="shared" si="1"/>
        <v>202</v>
      </c>
      <c r="G29">
        <f t="shared" si="2"/>
        <v>-2.9997999998158775E-2</v>
      </c>
      <c r="H29">
        <f t="shared" si="3"/>
        <v>-2.9997999998158775E-2</v>
      </c>
      <c r="O29">
        <f t="shared" ca="1" si="4"/>
        <v>2.6157053564575365E-2</v>
      </c>
      <c r="Q29" s="2">
        <f t="shared" si="5"/>
        <v>14557.740000000002</v>
      </c>
    </row>
    <row r="30" spans="1:17" x14ac:dyDescent="0.2">
      <c r="A30" s="12" t="s">
        <v>30</v>
      </c>
      <c r="B30" s="13"/>
      <c r="C30" s="14">
        <v>53601.4683</v>
      </c>
      <c r="D30" s="14">
        <v>8.9999999999999998E-4</v>
      </c>
      <c r="E30">
        <f t="shared" si="0"/>
        <v>10446.854610402375</v>
      </c>
      <c r="F30" s="31">
        <f t="shared" ref="F30:F37" si="6">ROUND(2*E30,0)/2-1</f>
        <v>10446</v>
      </c>
      <c r="G30">
        <f t="shared" si="2"/>
        <v>2.0041459999993094</v>
      </c>
      <c r="J30">
        <f>+G30</f>
        <v>2.0041459999993094</v>
      </c>
      <c r="O30">
        <f t="shared" ca="1" si="4"/>
        <v>2.0003624220524943</v>
      </c>
      <c r="Q30" s="2">
        <f t="shared" si="5"/>
        <v>38582.9683</v>
      </c>
    </row>
    <row r="31" spans="1:17" x14ac:dyDescent="0.2">
      <c r="A31" s="12" t="s">
        <v>30</v>
      </c>
      <c r="B31" s="13"/>
      <c r="C31" s="14">
        <v>53621.402199999997</v>
      </c>
      <c r="D31" s="14">
        <v>1.1999999999999999E-3</v>
      </c>
      <c r="E31">
        <f t="shared" si="0"/>
        <v>10455.354848558631</v>
      </c>
      <c r="F31" s="31">
        <f t="shared" si="6"/>
        <v>10454.5</v>
      </c>
      <c r="G31">
        <f t="shared" si="2"/>
        <v>2.0047044999955688</v>
      </c>
      <c r="J31">
        <f>+G31</f>
        <v>2.0047044999955688</v>
      </c>
      <c r="O31">
        <f t="shared" ca="1" si="4"/>
        <v>2.0020005268584438</v>
      </c>
      <c r="Q31" s="2">
        <f t="shared" si="5"/>
        <v>38602.902199999997</v>
      </c>
    </row>
    <row r="32" spans="1:17" x14ac:dyDescent="0.2">
      <c r="A32" s="50" t="s">
        <v>92</v>
      </c>
      <c r="B32" s="51" t="s">
        <v>40</v>
      </c>
      <c r="C32" s="50">
        <v>55075.478600000002</v>
      </c>
      <c r="D32" s="50" t="s">
        <v>52</v>
      </c>
      <c r="E32">
        <f t="shared" si="0"/>
        <v>11075.403895528505</v>
      </c>
      <c r="F32" s="52">
        <f t="shared" si="6"/>
        <v>11074.5</v>
      </c>
      <c r="G32">
        <f t="shared" si="2"/>
        <v>2.1197245000075782</v>
      </c>
      <c r="K32">
        <f>+G32</f>
        <v>2.1197245000075782</v>
      </c>
      <c r="O32">
        <f t="shared" ca="1" si="4"/>
        <v>2.1214858185865295</v>
      </c>
      <c r="Q32" s="2">
        <f t="shared" si="5"/>
        <v>40056.978600000002</v>
      </c>
    </row>
    <row r="33" spans="1:17" x14ac:dyDescent="0.2">
      <c r="A33" s="50" t="s">
        <v>92</v>
      </c>
      <c r="B33" s="51" t="s">
        <v>110</v>
      </c>
      <c r="C33" s="50">
        <v>55102.448400000001</v>
      </c>
      <c r="D33" s="50" t="s">
        <v>52</v>
      </c>
      <c r="E33">
        <f t="shared" si="0"/>
        <v>11086.904390816764</v>
      </c>
      <c r="F33" s="52">
        <f t="shared" si="6"/>
        <v>11086</v>
      </c>
      <c r="G33">
        <f t="shared" si="2"/>
        <v>2.1208859999969718</v>
      </c>
      <c r="K33">
        <f>+G33</f>
        <v>2.1208859999969718</v>
      </c>
      <c r="O33">
        <f t="shared" ca="1" si="4"/>
        <v>2.123702078029873</v>
      </c>
      <c r="Q33" s="2">
        <f t="shared" si="5"/>
        <v>40083.948400000001</v>
      </c>
    </row>
    <row r="34" spans="1:17" x14ac:dyDescent="0.2">
      <c r="A34" s="35" t="s">
        <v>41</v>
      </c>
      <c r="B34" s="35"/>
      <c r="C34" s="36">
        <v>55462.451200000003</v>
      </c>
      <c r="D34" s="36">
        <v>4.3E-3</v>
      </c>
      <c r="E34" s="34">
        <f t="shared" si="0"/>
        <v>11240.417227588261</v>
      </c>
      <c r="F34" s="31">
        <f t="shared" si="6"/>
        <v>11239.5</v>
      </c>
      <c r="G34">
        <f t="shared" si="2"/>
        <v>2.1509895000053803</v>
      </c>
      <c r="J34">
        <f>+G34</f>
        <v>2.1509895000053803</v>
      </c>
      <c r="O34">
        <f t="shared" ca="1" si="4"/>
        <v>2.1532843236431973</v>
      </c>
      <c r="Q34" s="2">
        <f t="shared" si="5"/>
        <v>40443.951200000003</v>
      </c>
    </row>
    <row r="35" spans="1:17" x14ac:dyDescent="0.2">
      <c r="A35" s="32" t="s">
        <v>39</v>
      </c>
      <c r="B35" s="33" t="s">
        <v>40</v>
      </c>
      <c r="C35" s="32">
        <v>55844.736499999999</v>
      </c>
      <c r="D35" s="32">
        <v>5.0000000000000001E-4</v>
      </c>
      <c r="E35" s="34">
        <f t="shared" si="0"/>
        <v>11403.43179541674</v>
      </c>
      <c r="F35" s="31">
        <f t="shared" si="6"/>
        <v>11402.5</v>
      </c>
      <c r="G35">
        <f t="shared" si="2"/>
        <v>2.1851524999947287</v>
      </c>
      <c r="K35">
        <f>+G35</f>
        <v>2.1851524999947287</v>
      </c>
      <c r="O35">
        <f t="shared" ca="1" si="4"/>
        <v>2.184697392274936</v>
      </c>
      <c r="Q35" s="2">
        <f t="shared" si="5"/>
        <v>40826.236499999999</v>
      </c>
    </row>
    <row r="36" spans="1:17" x14ac:dyDescent="0.2">
      <c r="A36" s="53" t="s">
        <v>111</v>
      </c>
      <c r="B36" s="54" t="s">
        <v>40</v>
      </c>
      <c r="C36" s="55">
        <v>58751.726389000192</v>
      </c>
      <c r="D36" s="55">
        <v>2.2599999999999999E-4</v>
      </c>
      <c r="E36" s="34">
        <f>+(C36-C$7)/C$8</f>
        <v>12643.03399941759</v>
      </c>
      <c r="F36" s="56">
        <f t="shared" si="6"/>
        <v>12642</v>
      </c>
      <c r="G36">
        <f>+C36-(C$7+F36*C$8)</f>
        <v>2.4248310001930804</v>
      </c>
      <c r="K36">
        <f>+G36</f>
        <v>2.4248310001930804</v>
      </c>
      <c r="O36">
        <f ca="1">+C$11+C$12*$F36</f>
        <v>2.4235716166248751</v>
      </c>
      <c r="Q36" s="2">
        <f>+C36-15018.5</f>
        <v>43733.226389000192</v>
      </c>
    </row>
    <row r="37" spans="1:17" x14ac:dyDescent="0.2">
      <c r="A37" s="53" t="s">
        <v>111</v>
      </c>
      <c r="B37" s="54" t="s">
        <v>40</v>
      </c>
      <c r="C37" s="55">
        <v>58751.724890000187</v>
      </c>
      <c r="D37" s="55">
        <v>9.7999999999999997E-5</v>
      </c>
      <c r="E37" s="34">
        <f>+(C37-C$7)/C$8</f>
        <v>12643.033360212165</v>
      </c>
      <c r="F37" s="56">
        <f t="shared" si="6"/>
        <v>12642</v>
      </c>
      <c r="G37">
        <f>+C37-(C$7+F37*C$8)</f>
        <v>2.4233320001876564</v>
      </c>
      <c r="K37">
        <f>+G37</f>
        <v>2.4233320001876564</v>
      </c>
      <c r="O37">
        <f ca="1">+C$11+C$12*$F37</f>
        <v>2.4235716166248751</v>
      </c>
      <c r="Q37" s="2">
        <f>+C37-15018.5</f>
        <v>43733.224890000187</v>
      </c>
    </row>
    <row r="38" spans="1:17" x14ac:dyDescent="0.2">
      <c r="B38" s="3"/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6"/>
  <sheetViews>
    <sheetView topLeftCell="A2" workbookViewId="0">
      <selection activeCell="A15" sqref="A15:D24"/>
    </sheetView>
  </sheetViews>
  <sheetFormatPr defaultRowHeight="12.75" x14ac:dyDescent="0.2"/>
  <cols>
    <col min="1" max="1" width="19.7109375" style="10" customWidth="1"/>
    <col min="2" max="2" width="4.42578125" style="11" customWidth="1"/>
    <col min="3" max="3" width="12.7109375" style="10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0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7" t="s">
        <v>42</v>
      </c>
      <c r="I1" s="38" t="s">
        <v>43</v>
      </c>
      <c r="J1" s="39" t="s">
        <v>44</v>
      </c>
    </row>
    <row r="2" spans="1:16" x14ac:dyDescent="0.2">
      <c r="I2" s="40" t="s">
        <v>45</v>
      </c>
      <c r="J2" s="41" t="s">
        <v>46</v>
      </c>
    </row>
    <row r="3" spans="1:16" x14ac:dyDescent="0.2">
      <c r="A3" s="42" t="s">
        <v>47</v>
      </c>
      <c r="I3" s="40" t="s">
        <v>48</v>
      </c>
      <c r="J3" s="41" t="s">
        <v>49</v>
      </c>
    </row>
    <row r="4" spans="1:16" x14ac:dyDescent="0.2">
      <c r="I4" s="40" t="s">
        <v>50</v>
      </c>
      <c r="J4" s="41" t="s">
        <v>49</v>
      </c>
    </row>
    <row r="5" spans="1:16" ht="13.5" thickBot="1" x14ac:dyDescent="0.25">
      <c r="I5" s="43" t="s">
        <v>51</v>
      </c>
      <c r="J5" s="44" t="s">
        <v>52</v>
      </c>
    </row>
    <row r="10" spans="1:16" ht="13.5" thickBot="1" x14ac:dyDescent="0.25"/>
    <row r="11" spans="1:16" ht="12.75" customHeight="1" thickBot="1" x14ac:dyDescent="0.25">
      <c r="A11" s="10" t="str">
        <f t="shared" ref="A11:A24" si="0">P11</f>
        <v>BAVM 178 </v>
      </c>
      <c r="B11" s="3" t="str">
        <f t="shared" ref="B11:B24" si="1">IF(H11=INT(H11),"I","II")</f>
        <v>II</v>
      </c>
      <c r="C11" s="10">
        <f t="shared" ref="C11:C24" si="2">1*G11</f>
        <v>53601.4683</v>
      </c>
      <c r="D11" s="11" t="str">
        <f t="shared" ref="D11:D24" si="3">VLOOKUP(F11,I$1:J$5,2,FALSE)</f>
        <v>vis</v>
      </c>
      <c r="E11" s="45">
        <f>VLOOKUP(C11,Active!C$21:E$973,3,FALSE)</f>
        <v>10446.854610402375</v>
      </c>
      <c r="F11" s="3" t="s">
        <v>51</v>
      </c>
      <c r="G11" s="11" t="str">
        <f t="shared" ref="G11:G24" si="4">MID(I11,3,LEN(I11)-3)</f>
        <v>53601.4683</v>
      </c>
      <c r="H11" s="10">
        <f t="shared" ref="H11:H24" si="5">1*K11</f>
        <v>10448.5</v>
      </c>
      <c r="I11" s="46" t="s">
        <v>76</v>
      </c>
      <c r="J11" s="47" t="s">
        <v>77</v>
      </c>
      <c r="K11" s="46">
        <v>10448.5</v>
      </c>
      <c r="L11" s="46" t="s">
        <v>78</v>
      </c>
      <c r="M11" s="47" t="s">
        <v>79</v>
      </c>
      <c r="N11" s="47" t="s">
        <v>80</v>
      </c>
      <c r="O11" s="48" t="s">
        <v>81</v>
      </c>
      <c r="P11" s="49" t="s">
        <v>82</v>
      </c>
    </row>
    <row r="12" spans="1:16" ht="12.75" customHeight="1" thickBot="1" x14ac:dyDescent="0.25">
      <c r="A12" s="10" t="str">
        <f t="shared" si="0"/>
        <v>BAVM 178 </v>
      </c>
      <c r="B12" s="3" t="str">
        <f t="shared" si="1"/>
        <v>I</v>
      </c>
      <c r="C12" s="10">
        <f t="shared" si="2"/>
        <v>53621.402199999997</v>
      </c>
      <c r="D12" s="11" t="str">
        <f t="shared" si="3"/>
        <v>vis</v>
      </c>
      <c r="E12" s="45">
        <f>VLOOKUP(C12,Active!C$21:E$973,3,FALSE)</f>
        <v>10455.354848558631</v>
      </c>
      <c r="F12" s="3" t="s">
        <v>51</v>
      </c>
      <c r="G12" s="11" t="str">
        <f t="shared" si="4"/>
        <v>53621.4022</v>
      </c>
      <c r="H12" s="10">
        <f t="shared" si="5"/>
        <v>10457</v>
      </c>
      <c r="I12" s="46" t="s">
        <v>83</v>
      </c>
      <c r="J12" s="47" t="s">
        <v>84</v>
      </c>
      <c r="K12" s="46" t="s">
        <v>85</v>
      </c>
      <c r="L12" s="46" t="s">
        <v>86</v>
      </c>
      <c r="M12" s="47" t="s">
        <v>79</v>
      </c>
      <c r="N12" s="47" t="s">
        <v>80</v>
      </c>
      <c r="O12" s="48" t="s">
        <v>81</v>
      </c>
      <c r="P12" s="49" t="s">
        <v>82</v>
      </c>
    </row>
    <row r="13" spans="1:16" ht="12.75" customHeight="1" thickBot="1" x14ac:dyDescent="0.25">
      <c r="A13" s="10" t="str">
        <f t="shared" si="0"/>
        <v>BAVM 215 </v>
      </c>
      <c r="B13" s="3" t="str">
        <f t="shared" si="1"/>
        <v>I</v>
      </c>
      <c r="C13" s="10">
        <f t="shared" si="2"/>
        <v>55462.451200000003</v>
      </c>
      <c r="D13" s="11" t="str">
        <f t="shared" si="3"/>
        <v>vis</v>
      </c>
      <c r="E13" s="45">
        <f>VLOOKUP(C13,Active!C$21:E$973,3,FALSE)</f>
        <v>11240.417227588261</v>
      </c>
      <c r="F13" s="3" t="s">
        <v>51</v>
      </c>
      <c r="G13" s="11" t="str">
        <f t="shared" si="4"/>
        <v>55462.4512</v>
      </c>
      <c r="H13" s="10">
        <f t="shared" si="5"/>
        <v>11242</v>
      </c>
      <c r="I13" s="46" t="s">
        <v>99</v>
      </c>
      <c r="J13" s="47" t="s">
        <v>100</v>
      </c>
      <c r="K13" s="46" t="s">
        <v>101</v>
      </c>
      <c r="L13" s="46" t="s">
        <v>102</v>
      </c>
      <c r="M13" s="47" t="s">
        <v>79</v>
      </c>
      <c r="N13" s="47" t="s">
        <v>80</v>
      </c>
      <c r="O13" s="48" t="s">
        <v>91</v>
      </c>
      <c r="P13" s="49" t="s">
        <v>103</v>
      </c>
    </row>
    <row r="14" spans="1:16" ht="12.75" customHeight="1" thickBot="1" x14ac:dyDescent="0.25">
      <c r="A14" s="10" t="str">
        <f t="shared" si="0"/>
        <v>IBVS 6011 </v>
      </c>
      <c r="B14" s="3" t="str">
        <f t="shared" si="1"/>
        <v>I</v>
      </c>
      <c r="C14" s="10">
        <f t="shared" si="2"/>
        <v>55844.736499999999</v>
      </c>
      <c r="D14" s="11" t="str">
        <f t="shared" si="3"/>
        <v>vis</v>
      </c>
      <c r="E14" s="45">
        <f>VLOOKUP(C14,Active!C$21:E$973,3,FALSE)</f>
        <v>11403.43179541674</v>
      </c>
      <c r="F14" s="3" t="s">
        <v>51</v>
      </c>
      <c r="G14" s="11" t="str">
        <f t="shared" si="4"/>
        <v>55844.7365</v>
      </c>
      <c r="H14" s="10">
        <f t="shared" si="5"/>
        <v>11405</v>
      </c>
      <c r="I14" s="46" t="s">
        <v>104</v>
      </c>
      <c r="J14" s="47" t="s">
        <v>105</v>
      </c>
      <c r="K14" s="46" t="s">
        <v>106</v>
      </c>
      <c r="L14" s="46" t="s">
        <v>107</v>
      </c>
      <c r="M14" s="47" t="s">
        <v>79</v>
      </c>
      <c r="N14" s="47" t="s">
        <v>51</v>
      </c>
      <c r="O14" s="48" t="s">
        <v>108</v>
      </c>
      <c r="P14" s="49" t="s">
        <v>109</v>
      </c>
    </row>
    <row r="15" spans="1:16" ht="12.75" customHeight="1" thickBot="1" x14ac:dyDescent="0.25">
      <c r="A15" s="10" t="str">
        <f t="shared" si="0"/>
        <v> VSS 1.306 </v>
      </c>
      <c r="B15" s="3" t="str">
        <f t="shared" si="1"/>
        <v>I</v>
      </c>
      <c r="C15" s="10">
        <f t="shared" si="2"/>
        <v>29102.53</v>
      </c>
      <c r="D15" s="11" t="str">
        <f t="shared" si="3"/>
        <v>vis</v>
      </c>
      <c r="E15" s="45">
        <f>VLOOKUP(C15,Active!C$21:E$973,3,FALSE)</f>
        <v>-1.2792636900392618E-2</v>
      </c>
      <c r="F15" s="3" t="s">
        <v>51</v>
      </c>
      <c r="G15" s="11" t="str">
        <f t="shared" si="4"/>
        <v>29102.53</v>
      </c>
      <c r="H15" s="10">
        <f t="shared" si="5"/>
        <v>0</v>
      </c>
      <c r="I15" s="46" t="s">
        <v>53</v>
      </c>
      <c r="J15" s="47" t="s">
        <v>54</v>
      </c>
      <c r="K15" s="46">
        <v>0</v>
      </c>
      <c r="L15" s="46" t="s">
        <v>55</v>
      </c>
      <c r="M15" s="47" t="s">
        <v>56</v>
      </c>
      <c r="N15" s="47"/>
      <c r="O15" s="48" t="s">
        <v>57</v>
      </c>
      <c r="P15" s="48" t="s">
        <v>58</v>
      </c>
    </row>
    <row r="16" spans="1:16" ht="12.75" customHeight="1" thickBot="1" x14ac:dyDescent="0.25">
      <c r="A16" s="10" t="str">
        <f t="shared" si="0"/>
        <v> VSS 1.306 </v>
      </c>
      <c r="B16" s="3" t="str">
        <f t="shared" si="1"/>
        <v>I</v>
      </c>
      <c r="C16" s="10">
        <f t="shared" si="2"/>
        <v>29135.43</v>
      </c>
      <c r="D16" s="11" t="str">
        <f t="shared" si="3"/>
        <v>vis</v>
      </c>
      <c r="E16" s="45">
        <f>VLOOKUP(C16,Active!C$21:E$973,3,FALSE)</f>
        <v>14.016465829373935</v>
      </c>
      <c r="F16" s="3" t="s">
        <v>51</v>
      </c>
      <c r="G16" s="11" t="str">
        <f t="shared" si="4"/>
        <v>29135.43</v>
      </c>
      <c r="H16" s="10">
        <f t="shared" si="5"/>
        <v>14</v>
      </c>
      <c r="I16" s="46" t="s">
        <v>59</v>
      </c>
      <c r="J16" s="47" t="s">
        <v>60</v>
      </c>
      <c r="K16" s="46">
        <v>14</v>
      </c>
      <c r="L16" s="46" t="s">
        <v>61</v>
      </c>
      <c r="M16" s="47" t="s">
        <v>56</v>
      </c>
      <c r="N16" s="47"/>
      <c r="O16" s="48" t="s">
        <v>57</v>
      </c>
      <c r="P16" s="48" t="s">
        <v>58</v>
      </c>
    </row>
    <row r="17" spans="1:16" ht="12.75" customHeight="1" thickBot="1" x14ac:dyDescent="0.25">
      <c r="A17" s="10" t="str">
        <f t="shared" si="0"/>
        <v> VSS 1.306 </v>
      </c>
      <c r="B17" s="3" t="str">
        <f t="shared" si="1"/>
        <v>II</v>
      </c>
      <c r="C17" s="10">
        <f t="shared" si="2"/>
        <v>29230.36</v>
      </c>
      <c r="D17" s="11" t="str">
        <f t="shared" si="3"/>
        <v>vis</v>
      </c>
      <c r="E17" s="45">
        <f>VLOOKUP(C17,Active!C$21:E$973,3,FALSE)</f>
        <v>54.496633191178404</v>
      </c>
      <c r="F17" s="3" t="s">
        <v>51</v>
      </c>
      <c r="G17" s="11" t="str">
        <f t="shared" si="4"/>
        <v>29230.36</v>
      </c>
      <c r="H17" s="10">
        <f t="shared" si="5"/>
        <v>54.5</v>
      </c>
      <c r="I17" s="46" t="s">
        <v>62</v>
      </c>
      <c r="J17" s="47" t="s">
        <v>63</v>
      </c>
      <c r="K17" s="46">
        <v>54.5</v>
      </c>
      <c r="L17" s="46" t="s">
        <v>64</v>
      </c>
      <c r="M17" s="47" t="s">
        <v>56</v>
      </c>
      <c r="N17" s="47"/>
      <c r="O17" s="48" t="s">
        <v>57</v>
      </c>
      <c r="P17" s="48" t="s">
        <v>58</v>
      </c>
    </row>
    <row r="18" spans="1:16" ht="12.75" customHeight="1" thickBot="1" x14ac:dyDescent="0.25">
      <c r="A18" s="10" t="str">
        <f t="shared" si="0"/>
        <v> VSS 1.306 </v>
      </c>
      <c r="B18" s="3" t="str">
        <f t="shared" si="1"/>
        <v>I</v>
      </c>
      <c r="C18" s="10">
        <f t="shared" si="2"/>
        <v>29243.26</v>
      </c>
      <c r="D18" s="11" t="str">
        <f t="shared" si="3"/>
        <v>vis</v>
      </c>
      <c r="E18" s="45">
        <f>VLOOKUP(C18,Active!C$21:E$973,3,FALSE)</f>
        <v>59.997467057892692</v>
      </c>
      <c r="F18" s="3" t="s">
        <v>51</v>
      </c>
      <c r="G18" s="11" t="str">
        <f t="shared" si="4"/>
        <v>29243.26</v>
      </c>
      <c r="H18" s="10">
        <f t="shared" si="5"/>
        <v>60</v>
      </c>
      <c r="I18" s="46" t="s">
        <v>65</v>
      </c>
      <c r="J18" s="47" t="s">
        <v>66</v>
      </c>
      <c r="K18" s="46">
        <v>60</v>
      </c>
      <c r="L18" s="46" t="s">
        <v>64</v>
      </c>
      <c r="M18" s="47" t="s">
        <v>56</v>
      </c>
      <c r="N18" s="47"/>
      <c r="O18" s="48" t="s">
        <v>57</v>
      </c>
      <c r="P18" s="48" t="s">
        <v>58</v>
      </c>
    </row>
    <row r="19" spans="1:16" ht="12.75" customHeight="1" thickBot="1" x14ac:dyDescent="0.25">
      <c r="A19" s="10" t="str">
        <f t="shared" si="0"/>
        <v> VSS 1.306 </v>
      </c>
      <c r="B19" s="3" t="str">
        <f t="shared" si="1"/>
        <v>I</v>
      </c>
      <c r="C19" s="10">
        <f t="shared" si="2"/>
        <v>29250.29</v>
      </c>
      <c r="D19" s="11" t="str">
        <f t="shared" si="3"/>
        <v>vis</v>
      </c>
      <c r="E19" s="45">
        <f>VLOOKUP(C19,Active!C$21:E$973,3,FALSE)</f>
        <v>62.99520830463856</v>
      </c>
      <c r="F19" s="3" t="s">
        <v>51</v>
      </c>
      <c r="G19" s="11" t="str">
        <f t="shared" si="4"/>
        <v>29250.29</v>
      </c>
      <c r="H19" s="10">
        <f t="shared" si="5"/>
        <v>63</v>
      </c>
      <c r="I19" s="46" t="s">
        <v>67</v>
      </c>
      <c r="J19" s="47" t="s">
        <v>68</v>
      </c>
      <c r="K19" s="46">
        <v>63</v>
      </c>
      <c r="L19" s="46" t="s">
        <v>64</v>
      </c>
      <c r="M19" s="47" t="s">
        <v>56</v>
      </c>
      <c r="N19" s="47"/>
      <c r="O19" s="48" t="s">
        <v>57</v>
      </c>
      <c r="P19" s="48" t="s">
        <v>58</v>
      </c>
    </row>
    <row r="20" spans="1:16" ht="12.75" customHeight="1" thickBot="1" x14ac:dyDescent="0.25">
      <c r="A20" s="10" t="str">
        <f t="shared" si="0"/>
        <v> VSS 1.306 </v>
      </c>
      <c r="B20" s="3" t="str">
        <f t="shared" si="1"/>
        <v>I</v>
      </c>
      <c r="C20" s="10">
        <f t="shared" si="2"/>
        <v>29407.439999999999</v>
      </c>
      <c r="D20" s="11" t="str">
        <f t="shared" si="3"/>
        <v>vis</v>
      </c>
      <c r="E20" s="45">
        <f>VLOOKUP(C20,Active!C$21:E$973,3,FALSE)</f>
        <v>130.00730459566842</v>
      </c>
      <c r="F20" s="3" t="s">
        <v>51</v>
      </c>
      <c r="G20" s="11" t="str">
        <f t="shared" si="4"/>
        <v>29407.44</v>
      </c>
      <c r="H20" s="10">
        <f t="shared" si="5"/>
        <v>130</v>
      </c>
      <c r="I20" s="46" t="s">
        <v>69</v>
      </c>
      <c r="J20" s="47" t="s">
        <v>70</v>
      </c>
      <c r="K20" s="46">
        <v>130</v>
      </c>
      <c r="L20" s="46" t="s">
        <v>71</v>
      </c>
      <c r="M20" s="47" t="s">
        <v>56</v>
      </c>
      <c r="N20" s="47"/>
      <c r="O20" s="48" t="s">
        <v>57</v>
      </c>
      <c r="P20" s="48" t="s">
        <v>58</v>
      </c>
    </row>
    <row r="21" spans="1:16" ht="12.75" customHeight="1" thickBot="1" x14ac:dyDescent="0.25">
      <c r="A21" s="10" t="str">
        <f t="shared" si="0"/>
        <v> VSS 1.306 </v>
      </c>
      <c r="B21" s="3" t="str">
        <f t="shared" si="1"/>
        <v>I</v>
      </c>
      <c r="C21" s="10">
        <f t="shared" si="2"/>
        <v>29569.27</v>
      </c>
      <c r="D21" s="11" t="str">
        <f t="shared" si="3"/>
        <v>vis</v>
      </c>
      <c r="E21" s="45">
        <f>VLOOKUP(C21,Active!C$21:E$973,3,FALSE)</f>
        <v>199.01505224299663</v>
      </c>
      <c r="F21" s="3" t="s">
        <v>51</v>
      </c>
      <c r="G21" s="11" t="str">
        <f t="shared" si="4"/>
        <v>29569.27</v>
      </c>
      <c r="H21" s="10">
        <f t="shared" si="5"/>
        <v>199</v>
      </c>
      <c r="I21" s="46" t="s">
        <v>72</v>
      </c>
      <c r="J21" s="47" t="s">
        <v>73</v>
      </c>
      <c r="K21" s="46">
        <v>199</v>
      </c>
      <c r="L21" s="46" t="s">
        <v>61</v>
      </c>
      <c r="M21" s="47" t="s">
        <v>56</v>
      </c>
      <c r="N21" s="47"/>
      <c r="O21" s="48" t="s">
        <v>57</v>
      </c>
      <c r="P21" s="48" t="s">
        <v>58</v>
      </c>
    </row>
    <row r="22" spans="1:16" ht="12.75" customHeight="1" thickBot="1" x14ac:dyDescent="0.25">
      <c r="A22" s="10" t="str">
        <f t="shared" si="0"/>
        <v> VSS 1.306 </v>
      </c>
      <c r="B22" s="3" t="str">
        <f t="shared" si="1"/>
        <v>I</v>
      </c>
      <c r="C22" s="10">
        <f t="shared" si="2"/>
        <v>29576.240000000002</v>
      </c>
      <c r="D22" s="11" t="str">
        <f t="shared" si="3"/>
        <v>vis</v>
      </c>
      <c r="E22" s="45">
        <f>VLOOKUP(C22,Active!C$21:E$973,3,FALSE)</f>
        <v>201.98720821594327</v>
      </c>
      <c r="F22" s="3" t="s">
        <v>51</v>
      </c>
      <c r="G22" s="11" t="str">
        <f t="shared" si="4"/>
        <v>29576.24</v>
      </c>
      <c r="H22" s="10">
        <f t="shared" si="5"/>
        <v>202</v>
      </c>
      <c r="I22" s="46" t="s">
        <v>74</v>
      </c>
      <c r="J22" s="47" t="s">
        <v>75</v>
      </c>
      <c r="K22" s="46">
        <v>202</v>
      </c>
      <c r="L22" s="46" t="s">
        <v>55</v>
      </c>
      <c r="M22" s="47" t="s">
        <v>56</v>
      </c>
      <c r="N22" s="47"/>
      <c r="O22" s="48" t="s">
        <v>57</v>
      </c>
      <c r="P22" s="48" t="s">
        <v>58</v>
      </c>
    </row>
    <row r="23" spans="1:16" ht="12.75" customHeight="1" thickBot="1" x14ac:dyDescent="0.25">
      <c r="A23" s="10" t="str">
        <f t="shared" si="0"/>
        <v>BAVM 212 </v>
      </c>
      <c r="B23" s="3" t="str">
        <f t="shared" si="1"/>
        <v>I</v>
      </c>
      <c r="C23" s="10">
        <f t="shared" si="2"/>
        <v>55075.478600000002</v>
      </c>
      <c r="D23" s="11" t="str">
        <f t="shared" si="3"/>
        <v>vis</v>
      </c>
      <c r="E23" s="45">
        <f>VLOOKUP(C23,Active!C$21:E$973,3,FALSE)</f>
        <v>11075.403895528505</v>
      </c>
      <c r="F23" s="3" t="s">
        <v>51</v>
      </c>
      <c r="G23" s="11" t="str">
        <f t="shared" si="4"/>
        <v>55075.4786</v>
      </c>
      <c r="H23" s="10">
        <f t="shared" si="5"/>
        <v>11077</v>
      </c>
      <c r="I23" s="46" t="s">
        <v>87</v>
      </c>
      <c r="J23" s="47" t="s">
        <v>88</v>
      </c>
      <c r="K23" s="46" t="s">
        <v>89</v>
      </c>
      <c r="L23" s="46" t="s">
        <v>90</v>
      </c>
      <c r="M23" s="47" t="s">
        <v>79</v>
      </c>
      <c r="N23" s="47" t="s">
        <v>80</v>
      </c>
      <c r="O23" s="48" t="s">
        <v>91</v>
      </c>
      <c r="P23" s="49" t="s">
        <v>92</v>
      </c>
    </row>
    <row r="24" spans="1:16" ht="12.75" customHeight="1" thickBot="1" x14ac:dyDescent="0.25">
      <c r="A24" s="10" t="str">
        <f t="shared" si="0"/>
        <v>BAVM 212 </v>
      </c>
      <c r="B24" s="3" t="str">
        <f t="shared" si="1"/>
        <v>II</v>
      </c>
      <c r="C24" s="10">
        <f t="shared" si="2"/>
        <v>55102.448400000001</v>
      </c>
      <c r="D24" s="11" t="str">
        <f t="shared" si="3"/>
        <v>vis</v>
      </c>
      <c r="E24" s="45">
        <f>VLOOKUP(C24,Active!C$21:E$973,3,FALSE)</f>
        <v>11086.904390816764</v>
      </c>
      <c r="F24" s="3" t="s">
        <v>51</v>
      </c>
      <c r="G24" s="11" t="str">
        <f t="shared" si="4"/>
        <v>55102.4484</v>
      </c>
      <c r="H24" s="10">
        <f t="shared" si="5"/>
        <v>11088.5</v>
      </c>
      <c r="I24" s="46" t="s">
        <v>93</v>
      </c>
      <c r="J24" s="47" t="s">
        <v>94</v>
      </c>
      <c r="K24" s="46" t="s">
        <v>95</v>
      </c>
      <c r="L24" s="46" t="s">
        <v>96</v>
      </c>
      <c r="M24" s="47" t="s">
        <v>79</v>
      </c>
      <c r="N24" s="47" t="s">
        <v>97</v>
      </c>
      <c r="O24" s="48" t="s">
        <v>98</v>
      </c>
      <c r="P24" s="49" t="s">
        <v>92</v>
      </c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</sheetData>
  <phoneticPr fontId="8" type="noConversion"/>
  <hyperlinks>
    <hyperlink ref="P11" r:id="rId1" display="http://www.bav-astro.de/sfs/BAVM_link.php?BAVMnr=178"/>
    <hyperlink ref="P12" r:id="rId2" display="http://www.bav-astro.de/sfs/BAVM_link.php?BAVMnr=178"/>
    <hyperlink ref="P23" r:id="rId3" display="http://www.bav-astro.de/sfs/BAVM_link.php?BAVMnr=212"/>
    <hyperlink ref="P24" r:id="rId4" display="http://www.bav-astro.de/sfs/BAVM_link.php?BAVMnr=212"/>
    <hyperlink ref="P13" r:id="rId5" display="http://www.bav-astro.de/sfs/BAVM_link.php?BAVMnr=215"/>
    <hyperlink ref="P14" r:id="rId6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2024-01-31T04:06:35Z</dcterms:modified>
</cp:coreProperties>
</file>