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DEB0110-F272-47FF-8706-66DC7960A9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33" i="1" l="1"/>
  <c r="T33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E27" i="1"/>
  <c r="F27" i="1"/>
  <c r="G27" i="1"/>
  <c r="J27" i="1"/>
  <c r="E35" i="1"/>
  <c r="F35" i="1"/>
  <c r="G35" i="1"/>
  <c r="E36" i="1"/>
  <c r="E24" i="2"/>
  <c r="F36" i="1"/>
  <c r="G36" i="1"/>
  <c r="D9" i="1"/>
  <c r="C9" i="1"/>
  <c r="E25" i="1"/>
  <c r="F25" i="1"/>
  <c r="G25" i="1"/>
  <c r="E26" i="1"/>
  <c r="E12" i="2"/>
  <c r="F26" i="1"/>
  <c r="G26" i="1"/>
  <c r="E28" i="1"/>
  <c r="F28" i="1"/>
  <c r="G28" i="1"/>
  <c r="J28" i="1"/>
  <c r="E29" i="1"/>
  <c r="F29" i="1"/>
  <c r="G29" i="1"/>
  <c r="E30" i="1"/>
  <c r="F30" i="1"/>
  <c r="G30" i="1"/>
  <c r="J30" i="1"/>
  <c r="E31" i="1"/>
  <c r="F31" i="1"/>
  <c r="G31" i="1"/>
  <c r="J31" i="1"/>
  <c r="E32" i="1"/>
  <c r="F32" i="1"/>
  <c r="G32" i="1"/>
  <c r="E34" i="1"/>
  <c r="F34" i="1"/>
  <c r="G34" i="1"/>
  <c r="J34" i="1"/>
  <c r="E33" i="1"/>
  <c r="F33" i="1"/>
  <c r="Q21" i="1"/>
  <c r="Q22" i="1"/>
  <c r="Q23" i="1"/>
  <c r="J24" i="1"/>
  <c r="Q24" i="1"/>
  <c r="Q27" i="1"/>
  <c r="J35" i="1"/>
  <c r="Q35" i="1"/>
  <c r="J36" i="1"/>
  <c r="Q36" i="1"/>
  <c r="G24" i="2"/>
  <c r="C24" i="2"/>
  <c r="G23" i="2"/>
  <c r="C23" i="2"/>
  <c r="E23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22" i="2"/>
  <c r="C22" i="2"/>
  <c r="E22" i="2"/>
  <c r="G12" i="2"/>
  <c r="C12" i="2"/>
  <c r="G11" i="2"/>
  <c r="C11" i="2"/>
  <c r="E11" i="2"/>
  <c r="G21" i="2"/>
  <c r="C21" i="2"/>
  <c r="E21" i="2"/>
  <c r="G20" i="2"/>
  <c r="C20" i="2"/>
  <c r="G19" i="2"/>
  <c r="C19" i="2"/>
  <c r="E19" i="2"/>
  <c r="G18" i="2"/>
  <c r="C18" i="2"/>
  <c r="E18" i="2"/>
  <c r="H24" i="2"/>
  <c r="D24" i="2"/>
  <c r="B24" i="2"/>
  <c r="A24" i="2"/>
  <c r="H23" i="2"/>
  <c r="B23" i="2"/>
  <c r="D23" i="2"/>
  <c r="A23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22" i="2"/>
  <c r="B22" i="2"/>
  <c r="D22" i="2"/>
  <c r="A22" i="2"/>
  <c r="H12" i="2"/>
  <c r="D12" i="2"/>
  <c r="B12" i="2"/>
  <c r="A12" i="2"/>
  <c r="H11" i="2"/>
  <c r="B11" i="2"/>
  <c r="D11" i="2"/>
  <c r="A11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J25" i="1"/>
  <c r="Q25" i="1"/>
  <c r="J26" i="1"/>
  <c r="Q26" i="1"/>
  <c r="Q28" i="1"/>
  <c r="J29" i="1"/>
  <c r="Q29" i="1"/>
  <c r="Q30" i="1"/>
  <c r="Q31" i="1"/>
  <c r="J32" i="1"/>
  <c r="Q32" i="1"/>
  <c r="Q33" i="1"/>
  <c r="Q34" i="1"/>
  <c r="F16" i="1"/>
  <c r="F17" i="1" s="1"/>
  <c r="C17" i="1"/>
  <c r="E20" i="2"/>
  <c r="C11" i="1"/>
  <c r="C12" i="1"/>
  <c r="C16" i="1" l="1"/>
  <c r="D18" i="1" s="1"/>
  <c r="O25" i="1"/>
  <c r="O22" i="1"/>
  <c r="O32" i="1"/>
  <c r="O36" i="1"/>
  <c r="O28" i="1"/>
  <c r="O33" i="1"/>
  <c r="O24" i="1"/>
  <c r="O23" i="1"/>
  <c r="O29" i="1"/>
  <c r="O30" i="1"/>
  <c r="O27" i="1"/>
  <c r="C15" i="1"/>
  <c r="O26" i="1"/>
  <c r="O35" i="1"/>
  <c r="O31" i="1"/>
  <c r="O21" i="1"/>
  <c r="O34" i="1"/>
  <c r="C18" i="1" l="1"/>
  <c r="F18" i="1"/>
  <c r="F19" i="1" s="1"/>
</calcChain>
</file>

<file path=xl/sharedStrings.xml><?xml version="1.0" encoding="utf-8"?>
<sst xmlns="http://schemas.openxmlformats.org/spreadsheetml/2006/main" count="231" uniqueCount="104">
  <si>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</si>
  <si>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</si>
  <si>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</si>
  <si>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</si>
  <si>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</si>
  <si>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</si>
  <si>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</si>
  <si>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</si>
  <si>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</si>
  <si>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</si>
  <si>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</si>
  <si>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</si>
  <si>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</si>
  <si>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</si>
  <si>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</si>
  <si>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</si>
  <si>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</si>
  <si>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</si>
  <si>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</si>
  <si>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</si>
  <si>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</si>
  <si>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</si>
  <si>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</si>
  <si>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</si>
  <si>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</si>
  <si>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</si>
  <si>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</si>
  <si>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</si>
  <si>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</si>
  <si>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</si>
  <si>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</si>
  <si>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</si>
  <si>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</si>
  <si>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</si>
  <si>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</si>
  <si>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</si>
  <si>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4105</t>
  </si>
  <si>
    <t>I</t>
  </si>
  <si>
    <t>PE</t>
  </si>
  <si>
    <t>not avail.</t>
  </si>
  <si>
    <t>E</t>
  </si>
  <si>
    <t>Minima from the Lichtenknecker Database of the BAV</t>
  </si>
  <si>
    <t>C</t>
  </si>
  <si>
    <t>CCD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</si>
  <si>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</si>
  <si>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</si>
  <si>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</si>
  <si>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</si>
  <si>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</si>
  <si>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</si>
  <si>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</si>
  <si>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2429112.56 </t>
  </si>
  <si>
    <t> 02.08.1938 01:26 </t>
  </si>
  <si>
    <t> -0.17 </t>
  </si>
  <si>
    <t> P.Ahnert et al. </t>
  </si>
  <si>
    <t> VSS 1.309 </t>
  </si>
  <si>
    <t>2439685.434 </t>
  </si>
  <si>
    <t> 13.07.1967 22:24 </t>
  </si>
  <si>
    <t> -0.090 </t>
  </si>
  <si>
    <t>E </t>
  </si>
  <si>
    <t>?</t>
  </si>
  <si>
    <t> A.Pugach </t>
  </si>
  <si>
    <t>IBVS 3182 </t>
  </si>
  <si>
    <t>2442278.280 </t>
  </si>
  <si>
    <t> 18.08.1974 18:43 </t>
  </si>
  <si>
    <t> 0.387 </t>
  </si>
  <si>
    <t>2445226.419 </t>
  </si>
  <si>
    <t> 13.09.1982 22:03 </t>
  </si>
  <si>
    <t> 0.343 </t>
  </si>
  <si>
    <t>2448072.3946 </t>
  </si>
  <si>
    <t> 29.06.1990 21:28 </t>
  </si>
  <si>
    <t> -0.2039 </t>
  </si>
  <si>
    <t> S.Melnikov et al. </t>
  </si>
  <si>
    <t>IBVS 4105 </t>
  </si>
  <si>
    <t>2448123.3514 </t>
  </si>
  <si>
    <t> 19.08.1990 20:26 </t>
  </si>
  <si>
    <t> -0.0779 </t>
  </si>
  <si>
    <t>2448174.1931 </t>
  </si>
  <si>
    <t> 09.10.1990 16:38 </t>
  </si>
  <si>
    <t> -0.0670 </t>
  </si>
  <si>
    <t>2448428.4361 </t>
  </si>
  <si>
    <t> 20.06.1991 22:27 </t>
  </si>
  <si>
    <t> 0.0223 </t>
  </si>
  <si>
    <t>2448479.3323 </t>
  </si>
  <si>
    <t> 10.08.1991 19:58 </t>
  </si>
  <si>
    <t> 0.0877 </t>
  </si>
  <si>
    <t>2448835.3494 </t>
  </si>
  <si>
    <t> 31.07.1992 20:23 </t>
  </si>
  <si>
    <t> 0.2895 </t>
  </si>
  <si>
    <t>2448886.1710 </t>
  </si>
  <si>
    <t> 20.09.1992 16:06 </t>
  </si>
  <si>
    <t> 0.2804 </t>
  </si>
  <si>
    <t>2449190.3641 </t>
  </si>
  <si>
    <t> 21.07.1993 20:44 </t>
  </si>
  <si>
    <t> -0.5110 </t>
  </si>
  <si>
    <t>2449191.3547 </t>
  </si>
  <si>
    <t> 22.07.1993 20:30 </t>
  </si>
  <si>
    <t> 0.4796 </t>
  </si>
  <si>
    <t>2449241.2487 </t>
  </si>
  <si>
    <t> 10.09.1993 17:58 </t>
  </si>
  <si>
    <t> -0.4572 </t>
  </si>
  <si>
    <t>IBVS 3182</t>
  </si>
  <si>
    <t>V0530 Cyg / GSC 3593-2868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</si>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</sst>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2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4" fillId="2" borderId="12" xfId="0" applyFont="1" applyFill="1" applyBorder="1" applyAlignment="1">
      <alignment horizontal="left" vertical="top" wrapText="1" indent="1"/>
    </xf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Cyg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45864661654135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7-42AA-A0F5-0824414A27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3.6642000002757413E-2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97-42AA-A0F5-0824414A27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0.11381000000255881</c:v>
                </c:pt>
                <c:pt idx="2">
                  <c:v>0.5913559999971767</c:v>
                </c:pt>
                <c:pt idx="3">
                  <c:v>0.54662400000233902</c:v>
                </c:pt>
                <c:pt idx="4">
                  <c:v>0</c:v>
                </c:pt>
                <c:pt idx="5">
                  <c:v>0.12604599999758648</c:v>
                </c:pt>
                <c:pt idx="6">
                  <c:v>0.13699199999973644</c:v>
                </c:pt>
                <c:pt idx="7">
                  <c:v>0.13699200000701239</c:v>
                </c:pt>
                <c:pt idx="8">
                  <c:v>0.22622199999750592</c:v>
                </c:pt>
                <c:pt idx="9">
                  <c:v>0.29166800000530202</c:v>
                </c:pt>
                <c:pt idx="10">
                  <c:v>0.49349000000074739</c:v>
                </c:pt>
                <c:pt idx="11">
                  <c:v>0.48433600000134902</c:v>
                </c:pt>
                <c:pt idx="13">
                  <c:v>0.68351199999597156</c:v>
                </c:pt>
                <c:pt idx="14">
                  <c:v>0.68351200000324752</c:v>
                </c:pt>
                <c:pt idx="15">
                  <c:v>-0.25324200000613928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97-42AA-A0F5-0824414A27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97-42AA-A0F5-0824414A27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97-42AA-A0F5-0824414A27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97-42AA-A0F5-0824414A27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97-42AA-A0F5-0824414A27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-373</c:v>
                </c:pt>
                <c:pt idx="1">
                  <c:v>-165</c:v>
                </c:pt>
                <c:pt idx="2">
                  <c:v>-114</c:v>
                </c:pt>
                <c:pt idx="3">
                  <c:v>-56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23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0.15028920553197617</c:v>
                </c:pt>
                <c:pt idx="1">
                  <c:v>0.21138900182656556</c:v>
                </c:pt>
                <c:pt idx="2">
                  <c:v>0.22637020187956583</c:v>
                </c:pt>
                <c:pt idx="3">
                  <c:v>0.24340764507709556</c:v>
                </c:pt>
                <c:pt idx="4">
                  <c:v>0.25985759023333116</c:v>
                </c:pt>
                <c:pt idx="5">
                  <c:v>0.26015133925397821</c:v>
                </c:pt>
                <c:pt idx="6">
                  <c:v>0.26044508827462531</c:v>
                </c:pt>
                <c:pt idx="7">
                  <c:v>0.26044508827462531</c:v>
                </c:pt>
                <c:pt idx="8">
                  <c:v>0.26191383337786062</c:v>
                </c:pt>
                <c:pt idx="9">
                  <c:v>0.26220758239850767</c:v>
                </c:pt>
                <c:pt idx="10">
                  <c:v>0.26426382554303712</c:v>
                </c:pt>
                <c:pt idx="11">
                  <c:v>0.26455757456368417</c:v>
                </c:pt>
                <c:pt idx="12">
                  <c:v>0.26632006868756658</c:v>
                </c:pt>
                <c:pt idx="13">
                  <c:v>0.26632006868756658</c:v>
                </c:pt>
                <c:pt idx="14">
                  <c:v>0.26632006868756658</c:v>
                </c:pt>
                <c:pt idx="15">
                  <c:v>0.26661381770821363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97-42AA-A0F5-0824414A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235608"/>
        <c:axId val="1"/>
      </c:scatterChart>
      <c:valAx>
        <c:axId val="915235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23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32FB21-4F00-0D8D-3BF2-960BFBB0A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105" TargetMode="External"/><Relationship Id="rId13" Type="http://schemas.openxmlformats.org/officeDocument/2006/relationships/hyperlink" Target="http://www.konkoly.hu/cgi-bin/IBVS?4105" TargetMode="External"/><Relationship Id="rId3" Type="http://schemas.openxmlformats.org/officeDocument/2006/relationships/hyperlink" Target="http://www.konkoly.hu/cgi-bin/IBVS?3182" TargetMode="External"/><Relationship Id="rId7" Type="http://schemas.openxmlformats.org/officeDocument/2006/relationships/hyperlink" Target="http://www.konkoly.hu/cgi-bin/IBVS?4105" TargetMode="External"/><Relationship Id="rId12" Type="http://schemas.openxmlformats.org/officeDocument/2006/relationships/hyperlink" Target="http://www.konkoly.hu/cgi-bin/IBVS?4105" TargetMode="External"/><Relationship Id="rId2" Type="http://schemas.openxmlformats.org/officeDocument/2006/relationships/hyperlink" Target="http://www.konkoly.hu/cgi-bin/IBVS?3182" TargetMode="External"/><Relationship Id="rId1" Type="http://schemas.openxmlformats.org/officeDocument/2006/relationships/hyperlink" Target="http://www.konkoly.hu/cgi-bin/IBVS?3182" TargetMode="External"/><Relationship Id="rId6" Type="http://schemas.openxmlformats.org/officeDocument/2006/relationships/hyperlink" Target="http://www.konkoly.hu/cgi-bin/IBVS?4105" TargetMode="External"/><Relationship Id="rId11" Type="http://schemas.openxmlformats.org/officeDocument/2006/relationships/hyperlink" Target="http://www.konkoly.hu/cgi-bin/IBVS?4105" TargetMode="External"/><Relationship Id="rId5" Type="http://schemas.openxmlformats.org/officeDocument/2006/relationships/hyperlink" Target="http://www.konkoly.hu/cgi-bin/IBVS?4105" TargetMode="External"/><Relationship Id="rId10" Type="http://schemas.openxmlformats.org/officeDocument/2006/relationships/hyperlink" Target="http://www.konkoly.hu/cgi-bin/IBVS?4105" TargetMode="External"/><Relationship Id="rId4" Type="http://schemas.openxmlformats.org/officeDocument/2006/relationships/hyperlink" Target="http://www.konkoly.hu/cgi-bin/IBVS?4105" TargetMode="External"/><Relationship Id="rId9" Type="http://schemas.openxmlformats.org/officeDocument/2006/relationships/hyperlink" Target="http://www.konkoly.hu/cgi-bin/IBVS?41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46" t="s">
        <v>102</v>
      </c>
    </row>
    <row r="2" spans="1:6" x14ac:dyDescent="0.2">
      <c r="A2" t="s">
        <v>23</v>
      </c>
      <c r="B2" s="29" t="s">
        <v>40</v>
      </c>
      <c r="D2" s="2"/>
    </row>
    <row r="3" spans="1:6" ht="13.5" thickBot="1" x14ac:dyDescent="0.25"/>
    <row r="4" spans="1:6" ht="14.25" thickTop="1" thickBot="1" x14ac:dyDescent="0.25">
      <c r="A4" s="4" t="s">
        <v>0</v>
      </c>
      <c r="C4" s="7" t="s">
        <v>39</v>
      </c>
      <c r="D4" s="8" t="s">
        <v>39</v>
      </c>
    </row>
    <row r="5" spans="1:6" ht="13.5" thickTop="1" x14ac:dyDescent="0.2">
      <c r="A5" s="10" t="s">
        <v>28</v>
      </c>
      <c r="B5" s="11"/>
      <c r="C5" s="12">
        <v>-9.5</v>
      </c>
      <c r="D5" s="11" t="s">
        <v>29</v>
      </c>
    </row>
    <row r="6" spans="1:6" x14ac:dyDescent="0.2">
      <c r="A6" s="4" t="s">
        <v>1</v>
      </c>
    </row>
    <row r="7" spans="1:6" x14ac:dyDescent="0.2">
      <c r="A7" t="s">
        <v>2</v>
      </c>
      <c r="C7">
        <v>48072.3946</v>
      </c>
    </row>
    <row r="8" spans="1:6" x14ac:dyDescent="0.2">
      <c r="A8" t="s">
        <v>3</v>
      </c>
      <c r="C8">
        <v>50.830753999999999</v>
      </c>
    </row>
    <row r="9" spans="1:6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6" x14ac:dyDescent="0.2">
      <c r="A11" s="11" t="s">
        <v>15</v>
      </c>
      <c r="B11" s="11"/>
      <c r="C11" s="22">
        <f ca="1">INTERCEPT(INDIRECT($D$9):G990,INDIRECT($C$9):F990)</f>
        <v>0.25985759023333116</v>
      </c>
      <c r="D11" s="2"/>
      <c r="E11" s="11"/>
    </row>
    <row r="12" spans="1:6" x14ac:dyDescent="0.2">
      <c r="A12" s="11" t="s">
        <v>16</v>
      </c>
      <c r="B12" s="11"/>
      <c r="C12" s="22">
        <f ca="1">SLOPE(INDIRECT($D$9):G990,INDIRECT($C$9):F990)</f>
        <v>2.9374902064706435E-4</v>
      </c>
      <c r="D12" s="2"/>
      <c r="E12" s="11"/>
    </row>
    <row r="13" spans="1:6" x14ac:dyDescent="0.2">
      <c r="A13" s="11" t="s">
        <v>18</v>
      </c>
      <c r="B13" s="11"/>
      <c r="C13" s="2" t="s">
        <v>13</v>
      </c>
    </row>
    <row r="14" spans="1:6" x14ac:dyDescent="0.2">
      <c r="A14" s="11"/>
      <c r="B14" s="11"/>
      <c r="C14" s="11"/>
    </row>
    <row r="15" spans="1:6" x14ac:dyDescent="0.2">
      <c r="A15" s="13" t="s">
        <v>17</v>
      </c>
      <c r="B15" s="11"/>
      <c r="C15" s="14">
        <f ca="1">(C7+C11)+(C8+C12)*INT(MAX(F21:F3531))</f>
        <v>49241.768555817704</v>
      </c>
      <c r="E15" s="15" t="s">
        <v>33</v>
      </c>
      <c r="F15" s="12">
        <v>1</v>
      </c>
    </row>
    <row r="16" spans="1:6" x14ac:dyDescent="0.2">
      <c r="A16" s="17" t="s">
        <v>4</v>
      </c>
      <c r="B16" s="11"/>
      <c r="C16" s="18">
        <f ca="1">+C8+C12</f>
        <v>50.831047749020648</v>
      </c>
      <c r="E16" s="15" t="s">
        <v>30</v>
      </c>
      <c r="F16" s="16">
        <f ca="1">NOW()+15018.5+$C$5/24</f>
        <v>60340.715375694439</v>
      </c>
    </row>
    <row r="17" spans="1:20" ht="13.5" thickBot="1" x14ac:dyDescent="0.25">
      <c r="A17" s="15" t="s">
        <v>27</v>
      </c>
      <c r="B17" s="11"/>
      <c r="C17" s="11">
        <f>COUNT(C21:C2189)</f>
        <v>16</v>
      </c>
      <c r="E17" s="15" t="s">
        <v>34</v>
      </c>
      <c r="F17" s="16">
        <f ca="1">ROUND(2*(F16-$C$7)/$C$8,0)/2+F15</f>
        <v>242.5</v>
      </c>
    </row>
    <row r="18" spans="1:20" ht="14.25" thickTop="1" thickBot="1" x14ac:dyDescent="0.25">
      <c r="A18" s="17" t="s">
        <v>5</v>
      </c>
      <c r="B18" s="11"/>
      <c r="C18" s="20">
        <f ca="1">+C15</f>
        <v>49241.768555817704</v>
      </c>
      <c r="D18" s="21">
        <f ca="1">+C16</f>
        <v>50.831047749020648</v>
      </c>
      <c r="E18" s="15" t="s">
        <v>35</v>
      </c>
      <c r="F18" s="24">
        <f ca="1">ROUND(2*(F16-$C$15)/$C$16,0)/2+F15</f>
        <v>219.5</v>
      </c>
    </row>
    <row r="19" spans="1:20" ht="13.5" thickTop="1" x14ac:dyDescent="0.2">
      <c r="E19" s="15" t="s">
        <v>31</v>
      </c>
      <c r="F19" s="19">
        <f ca="1">+$C$15+$C$16*F18-15018.5-$C$5/24</f>
        <v>45381.079370061074</v>
      </c>
    </row>
    <row r="20" spans="1:20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46</v>
      </c>
      <c r="I20" s="6" t="s">
        <v>49</v>
      </c>
      <c r="J20" s="6" t="s">
        <v>38</v>
      </c>
      <c r="K20" s="6" t="s">
        <v>43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T20" s="47" t="s">
        <v>103</v>
      </c>
    </row>
    <row r="21" spans="1:20" x14ac:dyDescent="0.2">
      <c r="A21" s="43" t="s">
        <v>55</v>
      </c>
      <c r="B21" s="45" t="s">
        <v>37</v>
      </c>
      <c r="C21" s="44">
        <v>29112.560000000001</v>
      </c>
      <c r="D21" s="44" t="s">
        <v>49</v>
      </c>
      <c r="E21">
        <f t="shared" ref="E21:E36" si="0">+(C21-C$7)/C$8</f>
        <v>-372.99927913719318</v>
      </c>
      <c r="F21">
        <f t="shared" ref="F21:F36" si="1">ROUND(2*E21,0)/2</f>
        <v>-373</v>
      </c>
      <c r="G21">
        <f t="shared" ref="G21:G32" si="2">+C21-(C$7+F21*C$8)</f>
        <v>3.6642000002757413E-2</v>
      </c>
      <c r="I21">
        <f>+G21</f>
        <v>3.6642000002757413E-2</v>
      </c>
      <c r="O21">
        <f t="shared" ref="O21:O36" ca="1" si="3">+C$11+C$12*$F21</f>
        <v>0.15028920553197617</v>
      </c>
      <c r="Q21" s="1">
        <f t="shared" ref="Q21:Q36" si="4">+C21-15018.5</f>
        <v>14094.060000000001</v>
      </c>
    </row>
    <row r="22" spans="1:20" x14ac:dyDescent="0.2">
      <c r="A22" s="43" t="s">
        <v>101</v>
      </c>
      <c r="B22" s="45" t="s">
        <v>37</v>
      </c>
      <c r="C22" s="44">
        <v>39685.434000000001</v>
      </c>
      <c r="D22" s="44" t="s">
        <v>49</v>
      </c>
      <c r="E22">
        <f t="shared" si="0"/>
        <v>-164.99776100114508</v>
      </c>
      <c r="F22">
        <f t="shared" si="1"/>
        <v>-165</v>
      </c>
      <c r="G22">
        <f t="shared" si="2"/>
        <v>0.11381000000255881</v>
      </c>
      <c r="J22">
        <f t="shared" ref="J22:J32" si="5">+G22</f>
        <v>0.11381000000255881</v>
      </c>
      <c r="O22">
        <f t="shared" ca="1" si="3"/>
        <v>0.21138900182656556</v>
      </c>
      <c r="Q22" s="1">
        <f t="shared" si="4"/>
        <v>24666.934000000001</v>
      </c>
      <c r="R22" t="s">
        <v>38</v>
      </c>
    </row>
    <row r="23" spans="1:20" x14ac:dyDescent="0.2">
      <c r="A23" s="43" t="s">
        <v>101</v>
      </c>
      <c r="B23" s="45" t="s">
        <v>37</v>
      </c>
      <c r="C23" s="44">
        <v>42278.28</v>
      </c>
      <c r="D23" s="44" t="s">
        <v>49</v>
      </c>
      <c r="E23">
        <f t="shared" si="0"/>
        <v>-113.98836617690151</v>
      </c>
      <c r="F23">
        <f t="shared" si="1"/>
        <v>-114</v>
      </c>
      <c r="G23">
        <f t="shared" si="2"/>
        <v>0.5913559999971767</v>
      </c>
      <c r="J23">
        <f t="shared" si="5"/>
        <v>0.5913559999971767</v>
      </c>
      <c r="O23">
        <f t="shared" ca="1" si="3"/>
        <v>0.22637020187956583</v>
      </c>
      <c r="Q23" s="1">
        <f t="shared" si="4"/>
        <v>27259.78</v>
      </c>
      <c r="R23" t="s">
        <v>38</v>
      </c>
    </row>
    <row r="24" spans="1:20" x14ac:dyDescent="0.2">
      <c r="A24" s="43" t="s">
        <v>101</v>
      </c>
      <c r="B24" s="45" t="s">
        <v>37</v>
      </c>
      <c r="C24" s="44">
        <v>45226.419000000002</v>
      </c>
      <c r="D24" s="44" t="s">
        <v>49</v>
      </c>
      <c r="E24">
        <f t="shared" si="0"/>
        <v>-55.989246195324938</v>
      </c>
      <c r="F24">
        <f t="shared" si="1"/>
        <v>-56</v>
      </c>
      <c r="G24">
        <f t="shared" si="2"/>
        <v>0.54662400000233902</v>
      </c>
      <c r="J24">
        <f t="shared" si="5"/>
        <v>0.54662400000233902</v>
      </c>
      <c r="O24">
        <f t="shared" ca="1" si="3"/>
        <v>0.24340764507709556</v>
      </c>
      <c r="Q24" s="1">
        <f t="shared" si="4"/>
        <v>30207.919000000002</v>
      </c>
      <c r="R24" t="s">
        <v>38</v>
      </c>
    </row>
    <row r="25" spans="1:20" x14ac:dyDescent="0.2">
      <c r="A25" s="27" t="s">
        <v>36</v>
      </c>
      <c r="B25" s="28" t="s">
        <v>37</v>
      </c>
      <c r="C25" s="27">
        <v>48072.3946</v>
      </c>
      <c r="D25" s="27" t="s">
        <v>38</v>
      </c>
      <c r="E25">
        <f t="shared" si="0"/>
        <v>0</v>
      </c>
      <c r="F25">
        <f t="shared" si="1"/>
        <v>0</v>
      </c>
      <c r="G25">
        <f t="shared" si="2"/>
        <v>0</v>
      </c>
      <c r="J25">
        <f t="shared" si="5"/>
        <v>0</v>
      </c>
      <c r="O25">
        <f t="shared" ca="1" si="3"/>
        <v>0.25985759023333116</v>
      </c>
      <c r="Q25" s="1">
        <f t="shared" si="4"/>
        <v>33053.8946</v>
      </c>
      <c r="R25" t="s">
        <v>38</v>
      </c>
    </row>
    <row r="26" spans="1:20" x14ac:dyDescent="0.2">
      <c r="A26" s="27" t="s">
        <v>36</v>
      </c>
      <c r="B26" s="28" t="s">
        <v>37</v>
      </c>
      <c r="C26" s="27">
        <v>48123.3514</v>
      </c>
      <c r="D26" s="27" t="s">
        <v>38</v>
      </c>
      <c r="E26">
        <f t="shared" si="0"/>
        <v>1.0024797192660162</v>
      </c>
      <c r="F26">
        <f t="shared" si="1"/>
        <v>1</v>
      </c>
      <c r="G26">
        <f t="shared" si="2"/>
        <v>0.12604599999758648</v>
      </c>
      <c r="J26">
        <f t="shared" si="5"/>
        <v>0.12604599999758648</v>
      </c>
      <c r="O26">
        <f t="shared" ca="1" si="3"/>
        <v>0.26015133925397821</v>
      </c>
      <c r="Q26" s="1">
        <f t="shared" si="4"/>
        <v>33104.8514</v>
      </c>
      <c r="R26" t="s">
        <v>38</v>
      </c>
    </row>
    <row r="27" spans="1:20" x14ac:dyDescent="0.2">
      <c r="A27" s="43" t="s">
        <v>101</v>
      </c>
      <c r="B27" s="45" t="s">
        <v>37</v>
      </c>
      <c r="C27" s="44">
        <v>48174.193099999997</v>
      </c>
      <c r="D27" s="44" t="s">
        <v>49</v>
      </c>
      <c r="E27">
        <f t="shared" si="0"/>
        <v>2.0026950613401713</v>
      </c>
      <c r="F27">
        <f t="shared" si="1"/>
        <v>2</v>
      </c>
      <c r="G27">
        <f t="shared" si="2"/>
        <v>0.13699199999973644</v>
      </c>
      <c r="J27">
        <f t="shared" si="5"/>
        <v>0.13699199999973644</v>
      </c>
      <c r="O27">
        <f t="shared" ca="1" si="3"/>
        <v>0.26044508827462531</v>
      </c>
      <c r="Q27" s="1">
        <f t="shared" si="4"/>
        <v>33155.693099999997</v>
      </c>
      <c r="R27" t="s">
        <v>38</v>
      </c>
    </row>
    <row r="28" spans="1:20" x14ac:dyDescent="0.2">
      <c r="A28" s="27" t="s">
        <v>36</v>
      </c>
      <c r="B28" s="28" t="s">
        <v>37</v>
      </c>
      <c r="C28" s="27">
        <v>48174.193100000004</v>
      </c>
      <c r="D28" s="27" t="s">
        <v>38</v>
      </c>
      <c r="E28">
        <f t="shared" si="0"/>
        <v>2.0026950613403143</v>
      </c>
      <c r="F28">
        <f t="shared" si="1"/>
        <v>2</v>
      </c>
      <c r="G28">
        <f t="shared" si="2"/>
        <v>0.13699200000701239</v>
      </c>
      <c r="J28">
        <f t="shared" si="5"/>
        <v>0.13699200000701239</v>
      </c>
      <c r="O28">
        <f t="shared" ca="1" si="3"/>
        <v>0.26044508827462531</v>
      </c>
      <c r="Q28" s="1">
        <f t="shared" si="4"/>
        <v>33155.693100000004</v>
      </c>
      <c r="R28" t="s">
        <v>38</v>
      </c>
    </row>
    <row r="29" spans="1:20" x14ac:dyDescent="0.2">
      <c r="A29" s="27" t="s">
        <v>36</v>
      </c>
      <c r="B29" s="28" t="s">
        <v>37</v>
      </c>
      <c r="C29" s="27">
        <v>48428.436099999999</v>
      </c>
      <c r="D29" s="27" t="s">
        <v>38</v>
      </c>
      <c r="E29">
        <f t="shared" si="0"/>
        <v>7.0044504946749235</v>
      </c>
      <c r="F29">
        <f t="shared" si="1"/>
        <v>7</v>
      </c>
      <c r="G29">
        <f t="shared" si="2"/>
        <v>0.22622199999750592</v>
      </c>
      <c r="J29">
        <f t="shared" si="5"/>
        <v>0.22622199999750592</v>
      </c>
      <c r="O29">
        <f t="shared" ca="1" si="3"/>
        <v>0.26191383337786062</v>
      </c>
      <c r="Q29" s="1">
        <f t="shared" si="4"/>
        <v>33409.936099999999</v>
      </c>
      <c r="R29" t="s">
        <v>38</v>
      </c>
    </row>
    <row r="30" spans="1:20" x14ac:dyDescent="0.2">
      <c r="A30" s="27" t="s">
        <v>36</v>
      </c>
      <c r="B30" s="28" t="s">
        <v>37</v>
      </c>
      <c r="C30" s="27">
        <v>48479.332300000002</v>
      </c>
      <c r="D30" s="27" t="s">
        <v>38</v>
      </c>
      <c r="E30">
        <f t="shared" si="0"/>
        <v>8.0057380223004806</v>
      </c>
      <c r="F30">
        <f t="shared" si="1"/>
        <v>8</v>
      </c>
      <c r="G30">
        <f t="shared" si="2"/>
        <v>0.29166800000530202</v>
      </c>
      <c r="J30">
        <f t="shared" si="5"/>
        <v>0.29166800000530202</v>
      </c>
      <c r="O30">
        <f t="shared" ca="1" si="3"/>
        <v>0.26220758239850767</v>
      </c>
      <c r="Q30" s="1">
        <f t="shared" si="4"/>
        <v>33460.832300000002</v>
      </c>
      <c r="R30" t="s">
        <v>38</v>
      </c>
    </row>
    <row r="31" spans="1:20" x14ac:dyDescent="0.2">
      <c r="A31" s="27" t="s">
        <v>36</v>
      </c>
      <c r="B31" s="28" t="s">
        <v>37</v>
      </c>
      <c r="C31" s="27">
        <v>48835.349399999999</v>
      </c>
      <c r="D31" s="27" t="s">
        <v>38</v>
      </c>
      <c r="E31">
        <f t="shared" si="0"/>
        <v>15.009708492618456</v>
      </c>
      <c r="F31">
        <f t="shared" si="1"/>
        <v>15</v>
      </c>
      <c r="G31">
        <f t="shared" si="2"/>
        <v>0.49349000000074739</v>
      </c>
      <c r="J31">
        <f t="shared" si="5"/>
        <v>0.49349000000074739</v>
      </c>
      <c r="O31">
        <f t="shared" ca="1" si="3"/>
        <v>0.26426382554303712</v>
      </c>
      <c r="Q31" s="1">
        <f t="shared" si="4"/>
        <v>33816.849399999999</v>
      </c>
      <c r="R31" t="s">
        <v>38</v>
      </c>
    </row>
    <row r="32" spans="1:20" x14ac:dyDescent="0.2">
      <c r="A32" s="27" t="s">
        <v>36</v>
      </c>
      <c r="B32" s="28" t="s">
        <v>37</v>
      </c>
      <c r="C32" s="27">
        <v>48886.171000000002</v>
      </c>
      <c r="D32" s="27" t="s">
        <v>38</v>
      </c>
      <c r="E32">
        <f t="shared" si="0"/>
        <v>16.009528404792157</v>
      </c>
      <c r="F32">
        <f t="shared" si="1"/>
        <v>16</v>
      </c>
      <c r="G32">
        <f t="shared" si="2"/>
        <v>0.48433600000134902</v>
      </c>
      <c r="J32">
        <f t="shared" si="5"/>
        <v>0.48433600000134902</v>
      </c>
      <c r="O32">
        <f t="shared" ca="1" si="3"/>
        <v>0.26455757456368417</v>
      </c>
      <c r="Q32" s="1">
        <f t="shared" si="4"/>
        <v>33867.671000000002</v>
      </c>
      <c r="R32" t="s">
        <v>38</v>
      </c>
    </row>
    <row r="33" spans="1:20" x14ac:dyDescent="0.2">
      <c r="A33" s="27" t="s">
        <v>36</v>
      </c>
      <c r="B33" s="28" t="s">
        <v>37</v>
      </c>
      <c r="C33" s="27">
        <v>49190.364099999999</v>
      </c>
      <c r="D33" s="27" t="s">
        <v>38</v>
      </c>
      <c r="E33">
        <f t="shared" si="0"/>
        <v>21.993958618044488</v>
      </c>
      <c r="F33">
        <f t="shared" si="1"/>
        <v>22</v>
      </c>
      <c r="G33">
        <f t="shared" ref="G33" si="6">+C33-(C$7+F33*C$8)</f>
        <v>-0.30708800000138581</v>
      </c>
      <c r="O33">
        <f t="shared" ca="1" si="3"/>
        <v>0.26632006868756658</v>
      </c>
      <c r="Q33" s="1">
        <f t="shared" si="4"/>
        <v>34171.864099999999</v>
      </c>
      <c r="R33" t="s">
        <v>38</v>
      </c>
      <c r="T33">
        <f>+G33</f>
        <v>-0.30708800000138581</v>
      </c>
    </row>
    <row r="34" spans="1:20" x14ac:dyDescent="0.2">
      <c r="A34" s="27" t="s">
        <v>36</v>
      </c>
      <c r="B34" s="28" t="s">
        <v>37</v>
      </c>
      <c r="C34" s="27">
        <v>49191.354699999996</v>
      </c>
      <c r="D34" s="27" t="s">
        <v>38</v>
      </c>
      <c r="E34">
        <f t="shared" si="0"/>
        <v>22.013446820009726</v>
      </c>
      <c r="F34">
        <f t="shared" si="1"/>
        <v>22</v>
      </c>
      <c r="G34">
        <f>+C34-(C$7+F34*C$8)</f>
        <v>0.68351199999597156</v>
      </c>
      <c r="J34">
        <f>+G34</f>
        <v>0.68351199999597156</v>
      </c>
      <c r="O34">
        <f t="shared" ca="1" si="3"/>
        <v>0.26632006868756658</v>
      </c>
      <c r="Q34" s="1">
        <f t="shared" si="4"/>
        <v>34172.854699999996</v>
      </c>
      <c r="R34" t="s">
        <v>38</v>
      </c>
    </row>
    <row r="35" spans="1:20" x14ac:dyDescent="0.2">
      <c r="A35" s="43" t="s">
        <v>101</v>
      </c>
      <c r="B35" s="45" t="s">
        <v>37</v>
      </c>
      <c r="C35" s="44">
        <v>49191.354700000004</v>
      </c>
      <c r="D35" s="44" t="s">
        <v>49</v>
      </c>
      <c r="E35">
        <f t="shared" si="0"/>
        <v>22.013446820009868</v>
      </c>
      <c r="F35">
        <f t="shared" si="1"/>
        <v>22</v>
      </c>
      <c r="G35">
        <f>+C35-(C$7+F35*C$8)</f>
        <v>0.68351200000324752</v>
      </c>
      <c r="J35">
        <f>+G35</f>
        <v>0.68351200000324752</v>
      </c>
      <c r="O35">
        <f t="shared" ca="1" si="3"/>
        <v>0.26632006868756658</v>
      </c>
      <c r="Q35" s="1">
        <f t="shared" si="4"/>
        <v>34172.854700000004</v>
      </c>
      <c r="R35" t="s">
        <v>38</v>
      </c>
    </row>
    <row r="36" spans="1:20" x14ac:dyDescent="0.2">
      <c r="A36" s="43" t="s">
        <v>101</v>
      </c>
      <c r="B36" s="45" t="s">
        <v>37</v>
      </c>
      <c r="C36" s="44">
        <v>49241.248699999996</v>
      </c>
      <c r="D36" s="44" t="s">
        <v>49</v>
      </c>
      <c r="E36">
        <f t="shared" si="0"/>
        <v>22.995017937369113</v>
      </c>
      <c r="F36">
        <f t="shared" si="1"/>
        <v>23</v>
      </c>
      <c r="G36">
        <f>+C36-(C$7+F36*C$8)</f>
        <v>-0.25324200000613928</v>
      </c>
      <c r="J36">
        <f>+G36</f>
        <v>-0.25324200000613928</v>
      </c>
      <c r="O36">
        <f t="shared" ca="1" si="3"/>
        <v>0.26661381770821363</v>
      </c>
      <c r="Q36" s="1">
        <f t="shared" si="4"/>
        <v>34222.748699999996</v>
      </c>
      <c r="R36" t="s">
        <v>38</v>
      </c>
    </row>
    <row r="37" spans="1:20" x14ac:dyDescent="0.2">
      <c r="C37" s="9"/>
      <c r="D37" s="9"/>
    </row>
    <row r="38" spans="1:20" x14ac:dyDescent="0.2">
      <c r="C38" s="9"/>
      <c r="D38" s="9"/>
    </row>
    <row r="39" spans="1:20" x14ac:dyDescent="0.2">
      <c r="C39" s="9"/>
      <c r="D39" s="9"/>
    </row>
    <row r="40" spans="1:20" x14ac:dyDescent="0.2">
      <c r="C40" s="9"/>
      <c r="D40" s="9"/>
    </row>
    <row r="41" spans="1:20" x14ac:dyDescent="0.2">
      <c r="C41" s="9"/>
      <c r="D41" s="9"/>
    </row>
    <row r="42" spans="1:20" x14ac:dyDescent="0.2">
      <c r="C42" s="9"/>
      <c r="D42" s="9"/>
    </row>
    <row r="43" spans="1:20" x14ac:dyDescent="0.2">
      <c r="C43" s="9"/>
      <c r="D43" s="9"/>
    </row>
    <row r="44" spans="1:20" x14ac:dyDescent="0.2">
      <c r="C44" s="9"/>
      <c r="D44" s="9"/>
    </row>
    <row r="45" spans="1:20" x14ac:dyDescent="0.2">
      <c r="C45" s="9"/>
      <c r="D45" s="9"/>
    </row>
    <row r="46" spans="1:20" x14ac:dyDescent="0.2">
      <c r="C46" s="9"/>
      <c r="D46" s="9"/>
    </row>
    <row r="47" spans="1:20" x14ac:dyDescent="0.2">
      <c r="C47" s="9"/>
      <c r="D47" s="9"/>
    </row>
    <row r="48" spans="1:20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topLeftCell="A5" workbookViewId="0">
      <selection activeCell="A18" sqref="A18:D24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0" t="s">
        <v>41</v>
      </c>
      <c r="I1" s="31" t="s">
        <v>42</v>
      </c>
      <c r="J1" s="32" t="s">
        <v>43</v>
      </c>
    </row>
    <row r="2" spans="1:16" x14ac:dyDescent="0.2">
      <c r="I2" s="33" t="s">
        <v>40</v>
      </c>
      <c r="J2" s="34" t="s">
        <v>38</v>
      </c>
    </row>
    <row r="3" spans="1:16" x14ac:dyDescent="0.2">
      <c r="A3" s="35" t="s">
        <v>44</v>
      </c>
      <c r="I3" s="33" t="s">
        <v>45</v>
      </c>
      <c r="J3" s="34" t="s">
        <v>46</v>
      </c>
    </row>
    <row r="4" spans="1:16" x14ac:dyDescent="0.2">
      <c r="I4" s="33" t="s">
        <v>47</v>
      </c>
      <c r="J4" s="34" t="s">
        <v>46</v>
      </c>
    </row>
    <row r="5" spans="1:16" ht="13.5" thickBot="1" x14ac:dyDescent="0.25">
      <c r="I5" s="36" t="s">
        <v>48</v>
      </c>
      <c r="J5" s="37" t="s">
        <v>49</v>
      </c>
    </row>
    <row r="10" spans="1:16" ht="13.5" thickBot="1" x14ac:dyDescent="0.25"/>
    <row r="11" spans="1:16" ht="12.75" customHeight="1" thickBot="1" x14ac:dyDescent="0.25">
      <c r="A11" s="9" t="str">
        <f t="shared" ref="A11:A24" si="0">P11</f>
        <v>IBVS 4105 </v>
      </c>
      <c r="B11" s="2" t="str">
        <f t="shared" ref="B11:B24" si="1">IF(H11=INT(H11),"I","II")</f>
        <v>I</v>
      </c>
      <c r="C11" s="9">
        <f t="shared" ref="C11:C24" si="2">1*G11</f>
        <v>48072.3946</v>
      </c>
      <c r="D11" s="11" t="str">
        <f t="shared" ref="D11:D24" si="3">VLOOKUP(F11,I$1:J$5,2,FALSE)</f>
        <v>vis</v>
      </c>
      <c r="E11" s="38">
        <f>VLOOKUP(C11,Active!C$21:E$973,3,FALSE)</f>
        <v>0</v>
      </c>
      <c r="F11" s="2" t="s">
        <v>48</v>
      </c>
      <c r="G11" s="11" t="str">
        <f t="shared" ref="G11:G24" si="4">MID(I11,3,LEN(I11)-3)</f>
        <v>48072.3946</v>
      </c>
      <c r="H11" s="9">
        <f t="shared" ref="H11:H24" si="5">1*K11</f>
        <v>-88</v>
      </c>
      <c r="I11" s="39" t="s">
        <v>69</v>
      </c>
      <c r="J11" s="40" t="s">
        <v>70</v>
      </c>
      <c r="K11" s="39">
        <v>-88</v>
      </c>
      <c r="L11" s="39" t="s">
        <v>71</v>
      </c>
      <c r="M11" s="40" t="s">
        <v>59</v>
      </c>
      <c r="N11" s="40" t="s">
        <v>60</v>
      </c>
      <c r="O11" s="41" t="s">
        <v>72</v>
      </c>
      <c r="P11" s="42" t="s">
        <v>73</v>
      </c>
    </row>
    <row r="12" spans="1:16" ht="12.75" customHeight="1" thickBot="1" x14ac:dyDescent="0.25">
      <c r="A12" s="9" t="str">
        <f t="shared" si="0"/>
        <v>IBVS 4105 </v>
      </c>
      <c r="B12" s="2" t="str">
        <f t="shared" si="1"/>
        <v>I</v>
      </c>
      <c r="C12" s="9">
        <f t="shared" si="2"/>
        <v>48123.3514</v>
      </c>
      <c r="D12" s="11" t="str">
        <f t="shared" si="3"/>
        <v>vis</v>
      </c>
      <c r="E12" s="38">
        <f>VLOOKUP(C12,Active!C$21:E$973,3,FALSE)</f>
        <v>1.0024797192660162</v>
      </c>
      <c r="F12" s="2" t="s">
        <v>48</v>
      </c>
      <c r="G12" s="11" t="str">
        <f t="shared" si="4"/>
        <v>48123.3514</v>
      </c>
      <c r="H12" s="9">
        <f t="shared" si="5"/>
        <v>-87</v>
      </c>
      <c r="I12" s="39" t="s">
        <v>74</v>
      </c>
      <c r="J12" s="40" t="s">
        <v>75</v>
      </c>
      <c r="K12" s="39">
        <v>-87</v>
      </c>
      <c r="L12" s="39" t="s">
        <v>76</v>
      </c>
      <c r="M12" s="40" t="s">
        <v>59</v>
      </c>
      <c r="N12" s="40" t="s">
        <v>60</v>
      </c>
      <c r="O12" s="41" t="s">
        <v>72</v>
      </c>
      <c r="P12" s="42" t="s">
        <v>73</v>
      </c>
    </row>
    <row r="13" spans="1:16" ht="12.75" customHeight="1" thickBot="1" x14ac:dyDescent="0.25">
      <c r="A13" s="9" t="str">
        <f t="shared" si="0"/>
        <v>IBVS 4105 </v>
      </c>
      <c r="B13" s="2" t="str">
        <f t="shared" si="1"/>
        <v>I</v>
      </c>
      <c r="C13" s="9">
        <f t="shared" si="2"/>
        <v>48428.436099999999</v>
      </c>
      <c r="D13" s="11" t="str">
        <f t="shared" si="3"/>
        <v>vis</v>
      </c>
      <c r="E13" s="38">
        <f>VLOOKUP(C13,Active!C$21:E$973,3,FALSE)</f>
        <v>7.0044504946749235</v>
      </c>
      <c r="F13" s="2" t="s">
        <v>48</v>
      </c>
      <c r="G13" s="11" t="str">
        <f t="shared" si="4"/>
        <v>48428.4361</v>
      </c>
      <c r="H13" s="9">
        <f t="shared" si="5"/>
        <v>-81</v>
      </c>
      <c r="I13" s="39" t="s">
        <v>80</v>
      </c>
      <c r="J13" s="40" t="s">
        <v>81</v>
      </c>
      <c r="K13" s="39">
        <v>-81</v>
      </c>
      <c r="L13" s="39" t="s">
        <v>82</v>
      </c>
      <c r="M13" s="40" t="s">
        <v>59</v>
      </c>
      <c r="N13" s="40" t="s">
        <v>60</v>
      </c>
      <c r="O13" s="41" t="s">
        <v>72</v>
      </c>
      <c r="P13" s="42" t="s">
        <v>73</v>
      </c>
    </row>
    <row r="14" spans="1:16" ht="12.75" customHeight="1" thickBot="1" x14ac:dyDescent="0.25">
      <c r="A14" s="9" t="str">
        <f t="shared" si="0"/>
        <v>IBVS 4105 </v>
      </c>
      <c r="B14" s="2" t="str">
        <f t="shared" si="1"/>
        <v>I</v>
      </c>
      <c r="C14" s="9">
        <f t="shared" si="2"/>
        <v>48479.332300000002</v>
      </c>
      <c r="D14" s="11" t="str">
        <f t="shared" si="3"/>
        <v>vis</v>
      </c>
      <c r="E14" s="38">
        <f>VLOOKUP(C14,Active!C$21:E$973,3,FALSE)</f>
        <v>8.0057380223004806</v>
      </c>
      <c r="F14" s="2" t="s">
        <v>48</v>
      </c>
      <c r="G14" s="11" t="str">
        <f t="shared" si="4"/>
        <v>48479.3323</v>
      </c>
      <c r="H14" s="9">
        <f t="shared" si="5"/>
        <v>-80</v>
      </c>
      <c r="I14" s="39" t="s">
        <v>83</v>
      </c>
      <c r="J14" s="40" t="s">
        <v>84</v>
      </c>
      <c r="K14" s="39">
        <v>-80</v>
      </c>
      <c r="L14" s="39" t="s">
        <v>85</v>
      </c>
      <c r="M14" s="40" t="s">
        <v>59</v>
      </c>
      <c r="N14" s="40" t="s">
        <v>60</v>
      </c>
      <c r="O14" s="41" t="s">
        <v>72</v>
      </c>
      <c r="P14" s="42" t="s">
        <v>73</v>
      </c>
    </row>
    <row r="15" spans="1:16" ht="12.75" customHeight="1" thickBot="1" x14ac:dyDescent="0.25">
      <c r="A15" s="9" t="str">
        <f t="shared" si="0"/>
        <v>IBVS 4105 </v>
      </c>
      <c r="B15" s="2" t="str">
        <f t="shared" si="1"/>
        <v>I</v>
      </c>
      <c r="C15" s="9">
        <f t="shared" si="2"/>
        <v>48835.349399999999</v>
      </c>
      <c r="D15" s="11" t="str">
        <f t="shared" si="3"/>
        <v>vis</v>
      </c>
      <c r="E15" s="38">
        <f>VLOOKUP(C15,Active!C$21:E$973,3,FALSE)</f>
        <v>15.009708492618456</v>
      </c>
      <c r="F15" s="2" t="s">
        <v>48</v>
      </c>
      <c r="G15" s="11" t="str">
        <f t="shared" si="4"/>
        <v>48835.3494</v>
      </c>
      <c r="H15" s="9">
        <f t="shared" si="5"/>
        <v>-73</v>
      </c>
      <c r="I15" s="39" t="s">
        <v>86</v>
      </c>
      <c r="J15" s="40" t="s">
        <v>87</v>
      </c>
      <c r="K15" s="39">
        <v>-73</v>
      </c>
      <c r="L15" s="39" t="s">
        <v>88</v>
      </c>
      <c r="M15" s="40" t="s">
        <v>59</v>
      </c>
      <c r="N15" s="40" t="s">
        <v>60</v>
      </c>
      <c r="O15" s="41" t="s">
        <v>72</v>
      </c>
      <c r="P15" s="42" t="s">
        <v>73</v>
      </c>
    </row>
    <row r="16" spans="1:16" ht="12.75" customHeight="1" thickBot="1" x14ac:dyDescent="0.25">
      <c r="A16" s="9" t="str">
        <f t="shared" si="0"/>
        <v>IBVS 4105 </v>
      </c>
      <c r="B16" s="2" t="str">
        <f t="shared" si="1"/>
        <v>I</v>
      </c>
      <c r="C16" s="9">
        <f t="shared" si="2"/>
        <v>48886.171000000002</v>
      </c>
      <c r="D16" s="11" t="str">
        <f t="shared" si="3"/>
        <v>vis</v>
      </c>
      <c r="E16" s="38">
        <f>VLOOKUP(C16,Active!C$21:E$973,3,FALSE)</f>
        <v>16.009528404792157</v>
      </c>
      <c r="F16" s="2" t="s">
        <v>48</v>
      </c>
      <c r="G16" s="11" t="str">
        <f t="shared" si="4"/>
        <v>48886.1710</v>
      </c>
      <c r="H16" s="9">
        <f t="shared" si="5"/>
        <v>-72</v>
      </c>
      <c r="I16" s="39" t="s">
        <v>89</v>
      </c>
      <c r="J16" s="40" t="s">
        <v>90</v>
      </c>
      <c r="K16" s="39">
        <v>-72</v>
      </c>
      <c r="L16" s="39" t="s">
        <v>91</v>
      </c>
      <c r="M16" s="40" t="s">
        <v>59</v>
      </c>
      <c r="N16" s="40" t="s">
        <v>60</v>
      </c>
      <c r="O16" s="41" t="s">
        <v>72</v>
      </c>
      <c r="P16" s="42" t="s">
        <v>73</v>
      </c>
    </row>
    <row r="17" spans="1:16" ht="12.75" customHeight="1" thickBot="1" x14ac:dyDescent="0.25">
      <c r="A17" s="9" t="str">
        <f t="shared" si="0"/>
        <v>IBVS 4105 </v>
      </c>
      <c r="B17" s="2" t="str">
        <f t="shared" si="1"/>
        <v>I</v>
      </c>
      <c r="C17" s="9">
        <f t="shared" si="2"/>
        <v>49190.364099999999</v>
      </c>
      <c r="D17" s="11" t="str">
        <f t="shared" si="3"/>
        <v>vis</v>
      </c>
      <c r="E17" s="38">
        <f>VLOOKUP(C17,Active!C$21:E$973,3,FALSE)</f>
        <v>21.993958618044488</v>
      </c>
      <c r="F17" s="2" t="s">
        <v>48</v>
      </c>
      <c r="G17" s="11" t="str">
        <f t="shared" si="4"/>
        <v>49190.3641</v>
      </c>
      <c r="H17" s="9">
        <f t="shared" si="5"/>
        <v>-66</v>
      </c>
      <c r="I17" s="39" t="s">
        <v>92</v>
      </c>
      <c r="J17" s="40" t="s">
        <v>93</v>
      </c>
      <c r="K17" s="39">
        <v>-66</v>
      </c>
      <c r="L17" s="39" t="s">
        <v>94</v>
      </c>
      <c r="M17" s="40" t="s">
        <v>59</v>
      </c>
      <c r="N17" s="40" t="s">
        <v>60</v>
      </c>
      <c r="O17" s="41" t="s">
        <v>72</v>
      </c>
      <c r="P17" s="42" t="s">
        <v>73</v>
      </c>
    </row>
    <row r="18" spans="1:16" ht="12.75" customHeight="1" thickBot="1" x14ac:dyDescent="0.25">
      <c r="A18" s="9" t="str">
        <f t="shared" si="0"/>
        <v> VSS 1.309 </v>
      </c>
      <c r="B18" s="2" t="str">
        <f t="shared" si="1"/>
        <v>I</v>
      </c>
      <c r="C18" s="9">
        <f t="shared" si="2"/>
        <v>29112.560000000001</v>
      </c>
      <c r="D18" s="11" t="str">
        <f t="shared" si="3"/>
        <v>vis</v>
      </c>
      <c r="E18" s="38">
        <f>VLOOKUP(C18,Active!C$21:E$973,3,FALSE)</f>
        <v>-372.99927913719318</v>
      </c>
      <c r="F18" s="2" t="s">
        <v>48</v>
      </c>
      <c r="G18" s="11" t="str">
        <f t="shared" si="4"/>
        <v>29112.56</v>
      </c>
      <c r="H18" s="9">
        <f t="shared" si="5"/>
        <v>-461</v>
      </c>
      <c r="I18" s="39" t="s">
        <v>51</v>
      </c>
      <c r="J18" s="40" t="s">
        <v>52</v>
      </c>
      <c r="K18" s="39">
        <v>-461</v>
      </c>
      <c r="L18" s="39" t="s">
        <v>53</v>
      </c>
      <c r="M18" s="40" t="s">
        <v>50</v>
      </c>
      <c r="N18" s="40"/>
      <c r="O18" s="41" t="s">
        <v>54</v>
      </c>
      <c r="P18" s="41" t="s">
        <v>55</v>
      </c>
    </row>
    <row r="19" spans="1:16" ht="12.75" customHeight="1" thickBot="1" x14ac:dyDescent="0.25">
      <c r="A19" s="9" t="str">
        <f t="shared" si="0"/>
        <v>IBVS 3182 </v>
      </c>
      <c r="B19" s="2" t="str">
        <f t="shared" si="1"/>
        <v>I</v>
      </c>
      <c r="C19" s="9">
        <f t="shared" si="2"/>
        <v>39685.434000000001</v>
      </c>
      <c r="D19" s="11" t="str">
        <f t="shared" si="3"/>
        <v>vis</v>
      </c>
      <c r="E19" s="38">
        <f>VLOOKUP(C19,Active!C$21:E$973,3,FALSE)</f>
        <v>-164.99776100114508</v>
      </c>
      <c r="F19" s="2" t="s">
        <v>48</v>
      </c>
      <c r="G19" s="11" t="str">
        <f t="shared" si="4"/>
        <v>39685.434</v>
      </c>
      <c r="H19" s="9">
        <f t="shared" si="5"/>
        <v>-253</v>
      </c>
      <c r="I19" s="39" t="s">
        <v>56</v>
      </c>
      <c r="J19" s="40" t="s">
        <v>57</v>
      </c>
      <c r="K19" s="39">
        <v>-253</v>
      </c>
      <c r="L19" s="39" t="s">
        <v>58</v>
      </c>
      <c r="M19" s="40" t="s">
        <v>59</v>
      </c>
      <c r="N19" s="40" t="s">
        <v>60</v>
      </c>
      <c r="O19" s="41" t="s">
        <v>61</v>
      </c>
      <c r="P19" s="42" t="s">
        <v>62</v>
      </c>
    </row>
    <row r="20" spans="1:16" ht="12.75" customHeight="1" thickBot="1" x14ac:dyDescent="0.25">
      <c r="A20" s="9" t="str">
        <f t="shared" si="0"/>
        <v>IBVS 3182 </v>
      </c>
      <c r="B20" s="2" t="str">
        <f t="shared" si="1"/>
        <v>I</v>
      </c>
      <c r="C20" s="9">
        <f t="shared" si="2"/>
        <v>42278.28</v>
      </c>
      <c r="D20" s="11" t="str">
        <f t="shared" si="3"/>
        <v>vis</v>
      </c>
      <c r="E20" s="38">
        <f>VLOOKUP(C20,Active!C$21:E$973,3,FALSE)</f>
        <v>-113.98836617690151</v>
      </c>
      <c r="F20" s="2" t="s">
        <v>48</v>
      </c>
      <c r="G20" s="11" t="str">
        <f t="shared" si="4"/>
        <v>42278.280</v>
      </c>
      <c r="H20" s="9">
        <f t="shared" si="5"/>
        <v>-202</v>
      </c>
      <c r="I20" s="39" t="s">
        <v>63</v>
      </c>
      <c r="J20" s="40" t="s">
        <v>64</v>
      </c>
      <c r="K20" s="39">
        <v>-202</v>
      </c>
      <c r="L20" s="39" t="s">
        <v>65</v>
      </c>
      <c r="M20" s="40" t="s">
        <v>59</v>
      </c>
      <c r="N20" s="40" t="s">
        <v>60</v>
      </c>
      <c r="O20" s="41" t="s">
        <v>61</v>
      </c>
      <c r="P20" s="42" t="s">
        <v>62</v>
      </c>
    </row>
    <row r="21" spans="1:16" ht="12.75" customHeight="1" thickBot="1" x14ac:dyDescent="0.25">
      <c r="A21" s="9" t="str">
        <f t="shared" si="0"/>
        <v>IBVS 3182 </v>
      </c>
      <c r="B21" s="2" t="str">
        <f t="shared" si="1"/>
        <v>I</v>
      </c>
      <c r="C21" s="9">
        <f t="shared" si="2"/>
        <v>45226.419000000002</v>
      </c>
      <c r="D21" s="11" t="str">
        <f t="shared" si="3"/>
        <v>vis</v>
      </c>
      <c r="E21" s="38">
        <f>VLOOKUP(C21,Active!C$21:E$973,3,FALSE)</f>
        <v>-55.989246195324938</v>
      </c>
      <c r="F21" s="2" t="s">
        <v>48</v>
      </c>
      <c r="G21" s="11" t="str">
        <f t="shared" si="4"/>
        <v>45226.419</v>
      </c>
      <c r="H21" s="9">
        <f t="shared" si="5"/>
        <v>-144</v>
      </c>
      <c r="I21" s="39" t="s">
        <v>66</v>
      </c>
      <c r="J21" s="40" t="s">
        <v>67</v>
      </c>
      <c r="K21" s="39">
        <v>-144</v>
      </c>
      <c r="L21" s="39" t="s">
        <v>68</v>
      </c>
      <c r="M21" s="40" t="s">
        <v>59</v>
      </c>
      <c r="N21" s="40" t="s">
        <v>60</v>
      </c>
      <c r="O21" s="41" t="s">
        <v>61</v>
      </c>
      <c r="P21" s="42" t="s">
        <v>62</v>
      </c>
    </row>
    <row r="22" spans="1:16" ht="12.75" customHeight="1" thickBot="1" x14ac:dyDescent="0.25">
      <c r="A22" s="9" t="str">
        <f t="shared" si="0"/>
        <v>IBVS 4105 </v>
      </c>
      <c r="B22" s="2" t="str">
        <f t="shared" si="1"/>
        <v>I</v>
      </c>
      <c r="C22" s="9">
        <f t="shared" si="2"/>
        <v>48174.193099999997</v>
      </c>
      <c r="D22" s="11" t="str">
        <f t="shared" si="3"/>
        <v>vis</v>
      </c>
      <c r="E22" s="38">
        <f>VLOOKUP(C22,Active!C$21:E$973,3,FALSE)</f>
        <v>2.0026950613401713</v>
      </c>
      <c r="F22" s="2" t="s">
        <v>48</v>
      </c>
      <c r="G22" s="11" t="str">
        <f t="shared" si="4"/>
        <v>48174.1931</v>
      </c>
      <c r="H22" s="9">
        <f t="shared" si="5"/>
        <v>-86</v>
      </c>
      <c r="I22" s="39" t="s">
        <v>77</v>
      </c>
      <c r="J22" s="40" t="s">
        <v>78</v>
      </c>
      <c r="K22" s="39">
        <v>-86</v>
      </c>
      <c r="L22" s="39" t="s">
        <v>79</v>
      </c>
      <c r="M22" s="40" t="s">
        <v>59</v>
      </c>
      <c r="N22" s="40" t="s">
        <v>60</v>
      </c>
      <c r="O22" s="41" t="s">
        <v>72</v>
      </c>
      <c r="P22" s="42" t="s">
        <v>73</v>
      </c>
    </row>
    <row r="23" spans="1:16" ht="12.75" customHeight="1" thickBot="1" x14ac:dyDescent="0.25">
      <c r="A23" s="9" t="str">
        <f t="shared" si="0"/>
        <v>IBVS 4105 </v>
      </c>
      <c r="B23" s="2" t="str">
        <f t="shared" si="1"/>
        <v>I</v>
      </c>
      <c r="C23" s="9">
        <f t="shared" si="2"/>
        <v>49191.354700000004</v>
      </c>
      <c r="D23" s="11" t="str">
        <f t="shared" si="3"/>
        <v>vis</v>
      </c>
      <c r="E23" s="38">
        <f>VLOOKUP(C23,Active!C$21:E$973,3,FALSE)</f>
        <v>22.013446820009868</v>
      </c>
      <c r="F23" s="2" t="s">
        <v>48</v>
      </c>
      <c r="G23" s="11" t="str">
        <f t="shared" si="4"/>
        <v>49191.3547</v>
      </c>
      <c r="H23" s="9">
        <f t="shared" si="5"/>
        <v>-66</v>
      </c>
      <c r="I23" s="39" t="s">
        <v>95</v>
      </c>
      <c r="J23" s="40" t="s">
        <v>96</v>
      </c>
      <c r="K23" s="39">
        <v>-66</v>
      </c>
      <c r="L23" s="39" t="s">
        <v>97</v>
      </c>
      <c r="M23" s="40" t="s">
        <v>59</v>
      </c>
      <c r="N23" s="40" t="s">
        <v>60</v>
      </c>
      <c r="O23" s="41" t="s">
        <v>72</v>
      </c>
      <c r="P23" s="42" t="s">
        <v>73</v>
      </c>
    </row>
    <row r="24" spans="1:16" ht="12.75" customHeight="1" thickBot="1" x14ac:dyDescent="0.25">
      <c r="A24" s="9" t="str">
        <f t="shared" si="0"/>
        <v>IBVS 4105 </v>
      </c>
      <c r="B24" s="2" t="str">
        <f t="shared" si="1"/>
        <v>I</v>
      </c>
      <c r="C24" s="9">
        <f t="shared" si="2"/>
        <v>49241.248699999996</v>
      </c>
      <c r="D24" s="11" t="str">
        <f t="shared" si="3"/>
        <v>vis</v>
      </c>
      <c r="E24" s="38">
        <f>VLOOKUP(C24,Active!C$21:E$973,3,FALSE)</f>
        <v>22.995017937369113</v>
      </c>
      <c r="F24" s="2" t="s">
        <v>48</v>
      </c>
      <c r="G24" s="11" t="str">
        <f t="shared" si="4"/>
        <v>49241.2487</v>
      </c>
      <c r="H24" s="9">
        <f t="shared" si="5"/>
        <v>-65</v>
      </c>
      <c r="I24" s="39" t="s">
        <v>98</v>
      </c>
      <c r="J24" s="40" t="s">
        <v>99</v>
      </c>
      <c r="K24" s="39">
        <v>-65</v>
      </c>
      <c r="L24" s="39" t="s">
        <v>100</v>
      </c>
      <c r="M24" s="40" t="s">
        <v>59</v>
      </c>
      <c r="N24" s="40" t="s">
        <v>60</v>
      </c>
      <c r="O24" s="41" t="s">
        <v>72</v>
      </c>
      <c r="P24" s="42" t="s">
        <v>73</v>
      </c>
    </row>
    <row r="25" spans="1:16" x14ac:dyDescent="0.2">
      <c r="B25" s="2"/>
      <c r="F25" s="2"/>
    </row>
    <row r="26" spans="1:16" x14ac:dyDescent="0.2">
      <c r="B26" s="2"/>
      <c r="F26" s="2"/>
    </row>
    <row r="27" spans="1:16" x14ac:dyDescent="0.2">
      <c r="B27" s="2"/>
      <c r="F27" s="2"/>
    </row>
    <row r="28" spans="1:16" x14ac:dyDescent="0.2">
      <c r="B28" s="2"/>
      <c r="F28" s="2"/>
    </row>
    <row r="29" spans="1:16" x14ac:dyDescent="0.2">
      <c r="B29" s="2"/>
      <c r="F29" s="2"/>
    </row>
    <row r="30" spans="1:16" x14ac:dyDescent="0.2">
      <c r="B30" s="2"/>
      <c r="F30" s="2"/>
    </row>
    <row r="31" spans="1:16" x14ac:dyDescent="0.2">
      <c r="B31" s="2"/>
      <c r="F31" s="2"/>
    </row>
    <row r="32" spans="1:1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</sheetData>
  <phoneticPr fontId="6" type="noConversion"/>
  <hyperlinks>
    <hyperlink ref="P19" r:id="rId1" display="http://www.konkoly.hu/cgi-bin/IBVS?3182"/>
    <hyperlink ref="P20" r:id="rId2" display="http://www.konkoly.hu/cgi-bin/IBVS?3182"/>
    <hyperlink ref="P21" r:id="rId3" display="http://www.konkoly.hu/cgi-bin/IBVS?3182"/>
    <hyperlink ref="P11" r:id="rId4" display="http://www.konkoly.hu/cgi-bin/IBVS?4105"/>
    <hyperlink ref="P12" r:id="rId5" display="http://www.konkoly.hu/cgi-bin/IBVS?4105"/>
    <hyperlink ref="P22" r:id="rId6" display="http://www.konkoly.hu/cgi-bin/IBVS?4105"/>
    <hyperlink ref="P13" r:id="rId7" display="http://www.konkoly.hu/cgi-bin/IBVS?4105"/>
    <hyperlink ref="P14" r:id="rId8" display="http://www.konkoly.hu/cgi-bin/IBVS?4105"/>
    <hyperlink ref="P15" r:id="rId9" display="http://www.konkoly.hu/cgi-bin/IBVS?4105"/>
    <hyperlink ref="P16" r:id="rId10" display="http://www.konkoly.hu/cgi-bin/IBVS?4105"/>
    <hyperlink ref="P17" r:id="rId11" display="http://www.konkoly.hu/cgi-bin/IBVS?4105"/>
    <hyperlink ref="P23" r:id="rId12" display="http://www.konkoly.hu/cgi-bin/IBVS?4105"/>
    <hyperlink ref="P24" r:id="rId13" display="http://www.konkoly.hu/cgi-bin/IBVS?410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2024-01-31T04:10:08Z</dcterms:modified>
</cp:coreProperties>
</file>