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790F87C-F892-4D5D-8FBB-6969D6CC70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2" i="1"/>
  <c r="G20" i="2"/>
  <c r="C20" i="2"/>
  <c r="G21" i="2"/>
  <c r="C21" i="2"/>
  <c r="E21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G13" i="2"/>
  <c r="C13" i="2"/>
  <c r="G12" i="2"/>
  <c r="C12" i="2"/>
  <c r="E12" i="2"/>
  <c r="G11" i="2"/>
  <c r="C11" i="2"/>
  <c r="E11" i="2"/>
  <c r="H20" i="2"/>
  <c r="D20" i="2"/>
  <c r="B20" i="2"/>
  <c r="A20" i="2"/>
  <c r="H21" i="2"/>
  <c r="B21" i="2"/>
  <c r="D21" i="2"/>
  <c r="A2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1" i="1"/>
  <c r="F16" i="1"/>
  <c r="E22" i="1"/>
  <c r="F22" i="1"/>
  <c r="E23" i="1"/>
  <c r="F23" i="1"/>
  <c r="E26" i="1"/>
  <c r="F26" i="1"/>
  <c r="E27" i="1"/>
  <c r="F27" i="1"/>
  <c r="G27" i="1"/>
  <c r="J27" i="1"/>
  <c r="Q22" i="1"/>
  <c r="Q23" i="1"/>
  <c r="Q25" i="1"/>
  <c r="Q30" i="1"/>
  <c r="Q24" i="1"/>
  <c r="Q26" i="1"/>
  <c r="Q27" i="1"/>
  <c r="Q28" i="1"/>
  <c r="Q29" i="1"/>
  <c r="C21" i="1"/>
  <c r="C17" i="1"/>
  <c r="C7" i="1"/>
  <c r="E32" i="1"/>
  <c r="F32" i="1"/>
  <c r="C8" i="1"/>
  <c r="Q21" i="1"/>
  <c r="E13" i="2"/>
  <c r="E20" i="2"/>
  <c r="G26" i="1"/>
  <c r="J26" i="1"/>
  <c r="E24" i="1"/>
  <c r="F24" i="1"/>
  <c r="G21" i="1"/>
  <c r="H21" i="1"/>
  <c r="E31" i="1"/>
  <c r="F31" i="1"/>
  <c r="E29" i="1"/>
  <c r="F29" i="1"/>
  <c r="G29" i="1"/>
  <c r="J29" i="1"/>
  <c r="G23" i="1"/>
  <c r="K23" i="1"/>
  <c r="E21" i="1"/>
  <c r="F21" i="1"/>
  <c r="E28" i="1"/>
  <c r="F28" i="1"/>
  <c r="G28" i="1"/>
  <c r="J28" i="1"/>
  <c r="E25" i="1"/>
  <c r="F25" i="1"/>
  <c r="G25" i="1"/>
  <c r="J25" i="1"/>
  <c r="G22" i="1"/>
  <c r="G32" i="1"/>
  <c r="I32" i="1"/>
  <c r="E30" i="1"/>
  <c r="F30" i="1"/>
  <c r="G30" i="1"/>
  <c r="J30" i="1"/>
  <c r="G24" i="1"/>
  <c r="J24" i="1"/>
  <c r="G31" i="1"/>
  <c r="J31" i="1"/>
  <c r="E18" i="2"/>
  <c r="E17" i="2"/>
  <c r="E14" i="2"/>
  <c r="K22" i="1"/>
  <c r="E19" i="2"/>
  <c r="C11" i="1"/>
  <c r="C12" i="1"/>
  <c r="C16" i="1" l="1"/>
  <c r="D18" i="1" s="1"/>
  <c r="O32" i="1"/>
  <c r="O26" i="1"/>
  <c r="O27" i="1"/>
  <c r="O22" i="1"/>
  <c r="O31" i="1"/>
  <c r="C15" i="1"/>
  <c r="O23" i="1"/>
  <c r="O29" i="1"/>
  <c r="O24" i="1"/>
  <c r="O30" i="1"/>
  <c r="O28" i="1"/>
  <c r="O21" i="1"/>
  <c r="O25" i="1"/>
  <c r="F17" i="1"/>
  <c r="C18" i="1" l="1"/>
  <c r="F18" i="1"/>
  <c r="F19" i="1" s="1"/>
</calcChain>
</file>

<file path=xl/sharedStrings.xml><?xml version="1.0" encoding="utf-8"?>
<sst xmlns="http://schemas.openxmlformats.org/spreadsheetml/2006/main" count="168" uniqueCount="110">
  <si>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</si>
  <si>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</si>
  <si>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</si>
  <si>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</si>
  <si>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</si>
  <si>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</si>
  <si>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</si>
  <si>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</si>
  <si>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</si>
  <si>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</si>
  <si>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</si>
  <si>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</si>
  <si>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</si>
  <si>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</si>
  <si>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</si>
  <si>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</si>
  <si>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</si>
  <si>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</si>
  <si>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</si>
  <si>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</si>
  <si>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</si>
  <si>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</si>
  <si>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</si>
  <si>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</si>
  <si>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</si>
  <si>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</si>
  <si>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</si>
  <si>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</si>
  <si>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</si>
  <si>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</si>
  <si>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</si>
  <si>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</si>
  <si>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</si>
  <si>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</si>
  <si>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</si>
  <si>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</si>
  <si>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</si>
  <si>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</si>
  <si>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</si>
  <si>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</si>
  <si>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</t>
  </si>
  <si>
    <t>CCD</t>
  </si>
  <si>
    <t>Add cycle</t>
  </si>
  <si>
    <t>Old Cycle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</si>
  <si>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</si>
  <si>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</si>
  <si>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</si>
  <si>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</si>
  <si>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</si>
  <si>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</si>
  <si>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</si>
  <si>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</si>
  <si>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</si>
  <si>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</si>
  <si>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</si>
  <si>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2452137.37721 </t>
  </si>
  <si>
    <t> 15.08.2001 21:03 </t>
  </si>
  <si>
    <t> 0.15944 </t>
  </si>
  <si>
    <t>C </t>
  </si>
  <si>
    <t>o</t>
  </si>
  <si>
    <t> J.Šafár </t>
  </si>
  <si>
    <t>OEJV 0074 </t>
  </si>
  <si>
    <t>2452488.49360 </t>
  </si>
  <si>
    <t> 01.08.2002 23:50 </t>
  </si>
  <si>
    <t> 0.16564 </t>
  </si>
  <si>
    <t> K.Koss </t>
  </si>
  <si>
    <t>2452864.5216 </t>
  </si>
  <si>
    <t> 13.08.2003 00:31 </t>
  </si>
  <si>
    <t> 0.1660 </t>
  </si>
  <si>
    <t>E </t>
  </si>
  <si>
    <t> F.Agerer </t>
  </si>
  <si>
    <t>BAVM 172 </t>
  </si>
  <si>
    <t>2452898.5005 </t>
  </si>
  <si>
    <t> 16.09.2003 00:00 </t>
  </si>
  <si>
    <t> 0.1665 </t>
  </si>
  <si>
    <t>BAVM 186 </t>
  </si>
  <si>
    <t>2452899.6313 </t>
  </si>
  <si>
    <t> 17.09.2003 03:09 </t>
  </si>
  <si>
    <t> 0.1646 </t>
  </si>
  <si>
    <t>-I</t>
  </si>
  <si>
    <t>2452902.4840 </t>
  </si>
  <si>
    <t> 19.09.2003 23:36 </t>
  </si>
  <si>
    <t>22021.5</t>
  </si>
  <si>
    <t> 0.1858 </t>
  </si>
  <si>
    <t>2452903.6022 </t>
  </si>
  <si>
    <t> 21.09.2003 02:27 </t>
  </si>
  <si>
    <t>22022.5</t>
  </si>
  <si>
    <t> 0.1714 </t>
  </si>
  <si>
    <t>2452907.5609 </t>
  </si>
  <si>
    <t> 25.09.2003 01:27 </t>
  </si>
  <si>
    <t>22026</t>
  </si>
  <si>
    <t> 0.1659 </t>
  </si>
  <si>
    <t>2453619.4066 </t>
  </si>
  <si>
    <t> 05.09.2005 21:45 </t>
  </si>
  <si>
    <t>22654.5</t>
  </si>
  <si>
    <t> 0.1641 </t>
  </si>
  <si>
    <t>BAVM 178 </t>
  </si>
  <si>
    <t>2455059.5413 </t>
  </si>
  <si>
    <t> 16.08.2009 00:59 </t>
  </si>
  <si>
    <t>23926</t>
  </si>
  <si>
    <t> 0.1807 </t>
  </si>
  <si>
    <t> P.Frank </t>
  </si>
  <si>
    <t>BAVM 212 </t>
  </si>
  <si>
    <t>2455691.5461 </t>
  </si>
  <si>
    <t> 10.05.2011 01:06 </t>
  </si>
  <si>
    <t>24484</t>
  </si>
  <si>
    <t> 0.1872 </t>
  </si>
  <si>
    <t>BAVM 220 </t>
  </si>
  <si>
    <t>BAD?</t>
  </si>
  <si>
    <t>V0534 Cyg / GSC 03194-01023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</si>
</sst>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center" wrapText="1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20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V0534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2-436E-B4DB-4304399BDC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1">
                  <c:v>0.18069899999682093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2-436E-B4DB-4304399BDC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0.16596199999912642</c:v>
                </c:pt>
                <c:pt idx="4">
                  <c:v>0.16645700000663055</c:v>
                </c:pt>
                <c:pt idx="5">
                  <c:v>0.16464350000023842</c:v>
                </c:pt>
                <c:pt idx="6">
                  <c:v>0.18580974999349564</c:v>
                </c:pt>
                <c:pt idx="7">
                  <c:v>0.17139624999981606</c:v>
                </c:pt>
                <c:pt idx="8">
                  <c:v>0.16594900000200141</c:v>
                </c:pt>
                <c:pt idx="9">
                  <c:v>0.16406424999877345</c:v>
                </c:pt>
                <c:pt idx="10">
                  <c:v>0.18716599999606842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2-436E-B4DB-4304399BDC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0.1594390000027488</c:v>
                </c:pt>
                <c:pt idx="2">
                  <c:v>0.16564400000061141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F2-436E-B4DB-4304399BDC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F2-436E-B4DB-4304399BDC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F2-436E-B4DB-4304399BDC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F2-436E-B4DB-4304399BDC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1.3514811093982587E-2</c:v>
                </c:pt>
                <c:pt idx="1">
                  <c:v>0.16340822460376386</c:v>
                </c:pt>
                <c:pt idx="2">
                  <c:v>0.16558507076641879</c:v>
                </c:pt>
                <c:pt idx="3">
                  <c:v>0.16791640278577827</c:v>
                </c:pt>
                <c:pt idx="4">
                  <c:v>0.16812706531764809</c:v>
                </c:pt>
                <c:pt idx="5">
                  <c:v>0.16813408740204375</c:v>
                </c:pt>
                <c:pt idx="6">
                  <c:v>0.16815164261303292</c:v>
                </c:pt>
                <c:pt idx="7">
                  <c:v>0.16815866469742857</c:v>
                </c:pt>
                <c:pt idx="8">
                  <c:v>0.16818324199281337</c:v>
                </c:pt>
                <c:pt idx="9">
                  <c:v>0.17259662203548637</c:v>
                </c:pt>
                <c:pt idx="10">
                  <c:v>0.18544352543734829</c:v>
                </c:pt>
                <c:pt idx="11">
                  <c:v>0.18152520234456943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F2-436E-B4DB-4304399BDC3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F2-436E-B4DB-4304399BD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01736"/>
        <c:axId val="1"/>
      </c:scatterChart>
      <c:valAx>
        <c:axId val="557601736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4"/>
          <c:min val="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01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V0534 Cyg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7-42C1-A131-3E2B346D08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1">
                  <c:v>0.18069899999682093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7-42C1-A131-3E2B346D08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0.16596199999912642</c:v>
                </c:pt>
                <c:pt idx="4">
                  <c:v>0.16645700000663055</c:v>
                </c:pt>
                <c:pt idx="5">
                  <c:v>0.16464350000023842</c:v>
                </c:pt>
                <c:pt idx="6">
                  <c:v>0.18580974999349564</c:v>
                </c:pt>
                <c:pt idx="7">
                  <c:v>0.17139624999981606</c:v>
                </c:pt>
                <c:pt idx="8">
                  <c:v>0.16594900000200141</c:v>
                </c:pt>
                <c:pt idx="9">
                  <c:v>0.16406424999877345</c:v>
                </c:pt>
                <c:pt idx="10">
                  <c:v>0.18716599999606842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7-42C1-A131-3E2B346D08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0.1594390000027488</c:v>
                </c:pt>
                <c:pt idx="2">
                  <c:v>0.16564400000061141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7-42C1-A131-3E2B346D08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7-42C1-A131-3E2B346D08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7-42C1-A131-3E2B346D08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0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5.9999999999999995E-4</c:v>
                  </c:pt>
                  <c:pt idx="9">
                    <c:v>1.8E-3</c:v>
                  </c:pt>
                  <c:pt idx="10">
                    <c:v>8.9999999999999998E-4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47-42C1-A131-3E2B346D08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1.3514811093982587E-2</c:v>
                </c:pt>
                <c:pt idx="1">
                  <c:v>0.16340822460376386</c:v>
                </c:pt>
                <c:pt idx="2">
                  <c:v>0.16558507076641879</c:v>
                </c:pt>
                <c:pt idx="3">
                  <c:v>0.16791640278577827</c:v>
                </c:pt>
                <c:pt idx="4">
                  <c:v>0.16812706531764809</c:v>
                </c:pt>
                <c:pt idx="5">
                  <c:v>0.16813408740204375</c:v>
                </c:pt>
                <c:pt idx="6">
                  <c:v>0.16815164261303292</c:v>
                </c:pt>
                <c:pt idx="7">
                  <c:v>0.16815866469742857</c:v>
                </c:pt>
                <c:pt idx="8">
                  <c:v>0.16818324199281337</c:v>
                </c:pt>
                <c:pt idx="9">
                  <c:v>0.17259662203548637</c:v>
                </c:pt>
                <c:pt idx="10">
                  <c:v>0.18544352543734829</c:v>
                </c:pt>
                <c:pt idx="11">
                  <c:v>0.18152520234456943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47-42C1-A131-3E2B346D08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21346</c:v>
                </c:pt>
                <c:pt idx="2">
                  <c:v>21656</c:v>
                </c:pt>
                <c:pt idx="3">
                  <c:v>21988</c:v>
                </c:pt>
                <c:pt idx="4">
                  <c:v>22018</c:v>
                </c:pt>
                <c:pt idx="5">
                  <c:v>22019</c:v>
                </c:pt>
                <c:pt idx="6">
                  <c:v>22021.5</c:v>
                </c:pt>
                <c:pt idx="7">
                  <c:v>22022.5</c:v>
                </c:pt>
                <c:pt idx="8">
                  <c:v>22026</c:v>
                </c:pt>
                <c:pt idx="9">
                  <c:v>22654.5</c:v>
                </c:pt>
                <c:pt idx="10">
                  <c:v>24484</c:v>
                </c:pt>
                <c:pt idx="11">
                  <c:v>23926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47-42C1-A131-3E2B346D0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35608"/>
        <c:axId val="1"/>
      </c:scatterChart>
      <c:valAx>
        <c:axId val="915235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23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73298764483702"/>
          <c:w val="0.775806451612903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400050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0131BDE-175D-3D1B-0A7F-55D86BAE1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200025</xdr:colOff>
      <xdr:row>18</xdr:row>
      <xdr:rowOff>57149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ADAAA949-1D76-B09C-543B-0A6CA2408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5" t="s">
        <v>109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2">
        <v>27960.45</v>
      </c>
      <c r="D4" s="3">
        <v>1.1326134999999999</v>
      </c>
    </row>
    <row r="5" spans="1:6" ht="13.5" thickTop="1" x14ac:dyDescent="0.2">
      <c r="A5" s="17" t="s">
        <v>32</v>
      </c>
      <c r="B5" s="9"/>
      <c r="C5" s="18">
        <v>-9.5</v>
      </c>
      <c r="D5" s="9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27960.45</v>
      </c>
    </row>
    <row r="8" spans="1:6" x14ac:dyDescent="0.2">
      <c r="A8" t="s">
        <v>3</v>
      </c>
      <c r="C8">
        <f>+D4</f>
        <v>1.1326134999999999</v>
      </c>
    </row>
    <row r="9" spans="1:6" x14ac:dyDescent="0.2">
      <c r="A9" s="32" t="s">
        <v>38</v>
      </c>
      <c r="B9" s="33">
        <v>22</v>
      </c>
      <c r="C9" s="30" t="str">
        <f>"F"&amp;B9</f>
        <v>F22</v>
      </c>
      <c r="D9" s="31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29">
        <f ca="1">INTERCEPT(INDIRECT($D$9):G992,INDIRECT($C$9):F992)</f>
        <v>1.3514811093982587E-2</v>
      </c>
      <c r="D11" s="4"/>
      <c r="E11" s="9"/>
    </row>
    <row r="12" spans="1:6" x14ac:dyDescent="0.2">
      <c r="A12" s="9" t="s">
        <v>17</v>
      </c>
      <c r="B12" s="9"/>
      <c r="C12" s="29">
        <f ca="1">SLOPE(INDIRECT($D$9):G992,INDIRECT($C$9):F992)</f>
        <v>7.0220843956610731E-6</v>
      </c>
      <c r="D12" s="4"/>
      <c r="E12" s="9"/>
    </row>
    <row r="13" spans="1:6" x14ac:dyDescent="0.2">
      <c r="A13" s="9" t="s">
        <v>19</v>
      </c>
      <c r="B13" s="9"/>
      <c r="C13" s="4" t="s">
        <v>14</v>
      </c>
    </row>
    <row r="14" spans="1:6" x14ac:dyDescent="0.2">
      <c r="A14" s="9"/>
      <c r="B14" s="9"/>
      <c r="C14" s="9"/>
    </row>
    <row r="15" spans="1:6" x14ac:dyDescent="0.2">
      <c r="A15" s="19" t="s">
        <v>18</v>
      </c>
      <c r="B15" s="9"/>
      <c r="C15" s="20">
        <f ca="1">(C7+C11)+(C8+C12)*INT(MAX(F21:F3533))</f>
        <v>55691.544377525439</v>
      </c>
      <c r="E15" s="21" t="s">
        <v>42</v>
      </c>
      <c r="F15" s="18">
        <v>1</v>
      </c>
    </row>
    <row r="16" spans="1:6" x14ac:dyDescent="0.2">
      <c r="A16" s="23" t="s">
        <v>4</v>
      </c>
      <c r="B16" s="9"/>
      <c r="C16" s="24">
        <f ca="1">+C8+C12</f>
        <v>1.1326205220843957</v>
      </c>
      <c r="E16" s="21" t="s">
        <v>34</v>
      </c>
      <c r="F16" s="22">
        <f ca="1">NOW()+15018.5+$C$5/24</f>
        <v>60340.716119791665</v>
      </c>
    </row>
    <row r="17" spans="1:21" ht="13.5" thickBot="1" x14ac:dyDescent="0.25">
      <c r="A17" s="21" t="s">
        <v>30</v>
      </c>
      <c r="B17" s="9"/>
      <c r="C17" s="9">
        <f>COUNT(C21:C2191)</f>
        <v>12</v>
      </c>
      <c r="E17" s="21" t="s">
        <v>43</v>
      </c>
      <c r="F17" s="22">
        <f ca="1">ROUND(2*(F16-$C$7)/$C$8,0)/2+F15</f>
        <v>28590</v>
      </c>
    </row>
    <row r="18" spans="1:21" ht="14.25" thickTop="1" thickBot="1" x14ac:dyDescent="0.25">
      <c r="A18" s="23" t="s">
        <v>5</v>
      </c>
      <c r="B18" s="9"/>
      <c r="C18" s="26">
        <f ca="1">+C15</f>
        <v>55691.544377525439</v>
      </c>
      <c r="D18" s="27">
        <f ca="1">+C16</f>
        <v>1.1326205220843957</v>
      </c>
      <c r="E18" s="21" t="s">
        <v>35</v>
      </c>
      <c r="F18" s="31">
        <f ca="1">ROUND(2*(F16-$C$15)/$C$16,0)/2+F15</f>
        <v>4106</v>
      </c>
    </row>
    <row r="19" spans="1:21" ht="13.5" thickTop="1" x14ac:dyDescent="0.2">
      <c r="E19" s="21" t="s">
        <v>36</v>
      </c>
      <c r="F19" s="25">
        <f ca="1">+$C$15+$C$16*F18-15018.5-$C$5/24</f>
        <v>45323.9800745373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4" t="s">
        <v>108</v>
      </c>
    </row>
    <row r="21" spans="1:21" x14ac:dyDescent="0.2">
      <c r="A21" t="s">
        <v>12</v>
      </c>
      <c r="C21" s="15">
        <f>+C4</f>
        <v>27960.45</v>
      </c>
      <c r="D21" s="15" t="s">
        <v>14</v>
      </c>
      <c r="E21">
        <f t="shared" ref="E21:E30" si="0">+(C21-C$7)/C$8</f>
        <v>0</v>
      </c>
      <c r="F21">
        <f t="shared" ref="F21:F32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1.3514811093982587E-2</v>
      </c>
      <c r="Q21" s="1">
        <f t="shared" ref="Q21:Q30" si="4">+C21-15018.5</f>
        <v>12941.95</v>
      </c>
    </row>
    <row r="22" spans="1:21" x14ac:dyDescent="0.2">
      <c r="A22" s="34" t="s">
        <v>39</v>
      </c>
      <c r="B22" s="35" t="s">
        <v>40</v>
      </c>
      <c r="C22" s="34">
        <v>52137.377209999999</v>
      </c>
      <c r="D22" s="34">
        <v>2.8E-3</v>
      </c>
      <c r="E22">
        <f t="shared" si="0"/>
        <v>21346.1407708808</v>
      </c>
      <c r="F22">
        <f t="shared" si="1"/>
        <v>21346</v>
      </c>
      <c r="G22">
        <f t="shared" si="2"/>
        <v>0.1594390000027488</v>
      </c>
      <c r="K22">
        <f>+G22</f>
        <v>0.1594390000027488</v>
      </c>
      <c r="O22">
        <f t="shared" ca="1" si="3"/>
        <v>0.16340822460376386</v>
      </c>
      <c r="Q22" s="1">
        <f t="shared" si="4"/>
        <v>37118.877209999999</v>
      </c>
    </row>
    <row r="23" spans="1:21" x14ac:dyDescent="0.2">
      <c r="A23" s="34" t="s">
        <v>39</v>
      </c>
      <c r="B23" s="35" t="s">
        <v>40</v>
      </c>
      <c r="C23" s="34">
        <v>52488.493600000002</v>
      </c>
      <c r="D23" s="34" t="s">
        <v>41</v>
      </c>
      <c r="E23">
        <f t="shared" si="0"/>
        <v>21656.146249360441</v>
      </c>
      <c r="F23">
        <f t="shared" si="1"/>
        <v>21656</v>
      </c>
      <c r="G23">
        <f t="shared" si="2"/>
        <v>0.16564400000061141</v>
      </c>
      <c r="K23">
        <f>+G23</f>
        <v>0.16564400000061141</v>
      </c>
      <c r="O23">
        <f t="shared" ca="1" si="3"/>
        <v>0.16558507076641879</v>
      </c>
      <c r="Q23" s="1">
        <f t="shared" si="4"/>
        <v>37469.993600000002</v>
      </c>
    </row>
    <row r="24" spans="1:21" x14ac:dyDescent="0.2">
      <c r="A24" s="10" t="s">
        <v>29</v>
      </c>
      <c r="B24" s="11"/>
      <c r="C24" s="16">
        <v>52864.5216</v>
      </c>
      <c r="D24" s="16">
        <v>5.0000000000000001E-4</v>
      </c>
      <c r="E24">
        <f t="shared" si="0"/>
        <v>21988.146530127004</v>
      </c>
      <c r="F24">
        <f t="shared" si="1"/>
        <v>21988</v>
      </c>
      <c r="G24">
        <f t="shared" si="2"/>
        <v>0.16596199999912642</v>
      </c>
      <c r="J24">
        <f t="shared" ref="J24:J31" si="5">+G24</f>
        <v>0.16596199999912642</v>
      </c>
      <c r="O24">
        <f t="shared" ca="1" si="3"/>
        <v>0.16791640278577827</v>
      </c>
      <c r="Q24" s="1">
        <f t="shared" si="4"/>
        <v>37846.0216</v>
      </c>
    </row>
    <row r="25" spans="1:21" x14ac:dyDescent="0.2">
      <c r="A25" s="14" t="s">
        <v>37</v>
      </c>
      <c r="B25" s="28"/>
      <c r="C25" s="15">
        <v>52898.500500000002</v>
      </c>
      <c r="D25" s="15">
        <v>2.0000000000000001E-4</v>
      </c>
      <c r="E25">
        <f t="shared" si="0"/>
        <v>22018.146967169298</v>
      </c>
      <c r="F25">
        <f t="shared" si="1"/>
        <v>22018</v>
      </c>
      <c r="G25">
        <f t="shared" si="2"/>
        <v>0.16645700000663055</v>
      </c>
      <c r="J25">
        <f t="shared" si="5"/>
        <v>0.16645700000663055</v>
      </c>
      <c r="O25">
        <f t="shared" ca="1" si="3"/>
        <v>0.16812706531764809</v>
      </c>
      <c r="Q25" s="1">
        <f t="shared" si="4"/>
        <v>37880.000500000002</v>
      </c>
    </row>
    <row r="26" spans="1:21" x14ac:dyDescent="0.2">
      <c r="A26" s="10" t="s">
        <v>29</v>
      </c>
      <c r="B26" s="11"/>
      <c r="C26" s="16">
        <v>52899.631300000001</v>
      </c>
      <c r="D26" s="16">
        <v>2.0000000000000001E-4</v>
      </c>
      <c r="E26">
        <f t="shared" si="0"/>
        <v>22019.145366005261</v>
      </c>
      <c r="F26">
        <f t="shared" si="1"/>
        <v>22019</v>
      </c>
      <c r="G26">
        <f t="shared" si="2"/>
        <v>0.16464350000023842</v>
      </c>
      <c r="J26">
        <f t="shared" si="5"/>
        <v>0.16464350000023842</v>
      </c>
      <c r="O26">
        <f t="shared" ca="1" si="3"/>
        <v>0.16813408740204375</v>
      </c>
      <c r="Q26" s="1">
        <f t="shared" si="4"/>
        <v>37881.131300000001</v>
      </c>
    </row>
    <row r="27" spans="1:21" x14ac:dyDescent="0.2">
      <c r="A27" s="10" t="s">
        <v>29</v>
      </c>
      <c r="B27" s="11"/>
      <c r="C27" s="16">
        <v>52902.483999999997</v>
      </c>
      <c r="D27" s="16">
        <v>1.1999999999999999E-3</v>
      </c>
      <c r="E27">
        <f t="shared" si="0"/>
        <v>22021.664053977813</v>
      </c>
      <c r="F27">
        <f t="shared" si="1"/>
        <v>22021.5</v>
      </c>
      <c r="G27">
        <f t="shared" si="2"/>
        <v>0.18580974999349564</v>
      </c>
      <c r="J27">
        <f t="shared" si="5"/>
        <v>0.18580974999349564</v>
      </c>
      <c r="O27">
        <f t="shared" ca="1" si="3"/>
        <v>0.16815164261303292</v>
      </c>
      <c r="Q27" s="1">
        <f t="shared" si="4"/>
        <v>37883.983999999997</v>
      </c>
    </row>
    <row r="28" spans="1:21" x14ac:dyDescent="0.2">
      <c r="A28" s="10" t="s">
        <v>29</v>
      </c>
      <c r="B28" s="11"/>
      <c r="C28" s="16">
        <v>52903.602200000001</v>
      </c>
      <c r="D28" s="16">
        <v>1.4E-3</v>
      </c>
      <c r="E28">
        <f t="shared" si="0"/>
        <v>22022.651328100896</v>
      </c>
      <c r="F28">
        <f t="shared" si="1"/>
        <v>22022.5</v>
      </c>
      <c r="G28">
        <f t="shared" si="2"/>
        <v>0.17139624999981606</v>
      </c>
      <c r="J28">
        <f t="shared" si="5"/>
        <v>0.17139624999981606</v>
      </c>
      <c r="O28">
        <f t="shared" ca="1" si="3"/>
        <v>0.16815866469742857</v>
      </c>
      <c r="Q28" s="1">
        <f t="shared" si="4"/>
        <v>37885.102200000001</v>
      </c>
    </row>
    <row r="29" spans="1:21" x14ac:dyDescent="0.2">
      <c r="A29" s="10" t="s">
        <v>29</v>
      </c>
      <c r="B29" s="11"/>
      <c r="C29" s="16">
        <v>52907.560899999997</v>
      </c>
      <c r="D29" s="16">
        <v>5.9999999999999995E-4</v>
      </c>
      <c r="E29">
        <f t="shared" si="0"/>
        <v>22026.146518649122</v>
      </c>
      <c r="F29">
        <f t="shared" si="1"/>
        <v>22026</v>
      </c>
      <c r="G29">
        <f t="shared" si="2"/>
        <v>0.16594900000200141</v>
      </c>
      <c r="J29">
        <f t="shared" si="5"/>
        <v>0.16594900000200141</v>
      </c>
      <c r="O29">
        <f t="shared" ca="1" si="3"/>
        <v>0.16818324199281337</v>
      </c>
      <c r="Q29" s="1">
        <f t="shared" si="4"/>
        <v>37889.060899999997</v>
      </c>
    </row>
    <row r="30" spans="1:21" x14ac:dyDescent="0.2">
      <c r="A30" s="12" t="s">
        <v>31</v>
      </c>
      <c r="B30" s="13"/>
      <c r="C30" s="14">
        <v>53619.406600000002</v>
      </c>
      <c r="D30" s="14">
        <v>1.8E-3</v>
      </c>
      <c r="E30">
        <f t="shared" si="0"/>
        <v>22654.644854577491</v>
      </c>
      <c r="F30">
        <f t="shared" si="1"/>
        <v>22654.5</v>
      </c>
      <c r="G30">
        <f t="shared" si="2"/>
        <v>0.16406424999877345</v>
      </c>
      <c r="J30">
        <f t="shared" si="5"/>
        <v>0.16406424999877345</v>
      </c>
      <c r="O30">
        <f t="shared" ca="1" si="3"/>
        <v>0.17259662203548637</v>
      </c>
      <c r="Q30" s="1">
        <f t="shared" si="4"/>
        <v>38600.906600000002</v>
      </c>
    </row>
    <row r="31" spans="1:21" x14ac:dyDescent="0.2">
      <c r="A31" s="36" t="s">
        <v>44</v>
      </c>
      <c r="B31" s="37" t="s">
        <v>40</v>
      </c>
      <c r="C31" s="36">
        <v>55691.5461</v>
      </c>
      <c r="D31" s="36">
        <v>8.9999999999999998E-4</v>
      </c>
      <c r="E31">
        <f>+(C31-C$7)/C$8</f>
        <v>24484.165251429549</v>
      </c>
      <c r="F31">
        <f t="shared" si="1"/>
        <v>24484</v>
      </c>
      <c r="G31">
        <f>+C31-(C$7+F31*C$8)</f>
        <v>0.18716599999606842</v>
      </c>
      <c r="J31">
        <f t="shared" si="5"/>
        <v>0.18716599999606842</v>
      </c>
      <c r="O31">
        <f ca="1">+C$11+C$12*$F31</f>
        <v>0.18544352543734829</v>
      </c>
      <c r="Q31" s="1">
        <f>+C31-15018.5</f>
        <v>40673.0461</v>
      </c>
    </row>
    <row r="32" spans="1:21" x14ac:dyDescent="0.2">
      <c r="A32" s="51" t="s">
        <v>102</v>
      </c>
      <c r="B32" s="53" t="s">
        <v>40</v>
      </c>
      <c r="C32" s="52">
        <v>55059.541299999997</v>
      </c>
      <c r="D32" s="52" t="s">
        <v>54</v>
      </c>
      <c r="E32">
        <f>+(C32-C$7)/C$8</f>
        <v>23926.159541626512</v>
      </c>
      <c r="F32">
        <f t="shared" si="1"/>
        <v>23926</v>
      </c>
      <c r="G32">
        <f>+C32-(C$7+F32*C$8)</f>
        <v>0.18069899999682093</v>
      </c>
      <c r="I32">
        <f>+G32</f>
        <v>0.18069899999682093</v>
      </c>
      <c r="O32">
        <f ca="1">+C$11+C$12*$F32</f>
        <v>0.18152520234456943</v>
      </c>
      <c r="Q32" s="1">
        <f>+C32-15018.5</f>
        <v>40041.041299999997</v>
      </c>
    </row>
    <row r="33" spans="3:17" x14ac:dyDescent="0.2">
      <c r="C33" s="15"/>
      <c r="D33" s="15"/>
      <c r="Q33" s="1"/>
    </row>
    <row r="34" spans="3:17" x14ac:dyDescent="0.2">
      <c r="C34" s="15"/>
      <c r="D34" s="15"/>
    </row>
    <row r="35" spans="3:17" x14ac:dyDescent="0.2">
      <c r="C35" s="15"/>
      <c r="D35" s="15"/>
    </row>
    <row r="36" spans="3:17" x14ac:dyDescent="0.2">
      <c r="C36" s="15"/>
      <c r="D36" s="15"/>
    </row>
    <row r="37" spans="3:17" x14ac:dyDescent="0.2">
      <c r="C37" s="15"/>
      <c r="D37" s="15"/>
    </row>
    <row r="38" spans="3:17" x14ac:dyDescent="0.2">
      <c r="C38" s="15"/>
      <c r="D38" s="15"/>
    </row>
    <row r="39" spans="3:17" x14ac:dyDescent="0.2">
      <c r="C39" s="15"/>
      <c r="D39" s="15"/>
    </row>
    <row r="40" spans="3:17" x14ac:dyDescent="0.2">
      <c r="C40" s="15"/>
      <c r="D40" s="15"/>
    </row>
    <row r="41" spans="3:17" x14ac:dyDescent="0.2">
      <c r="D41" s="4"/>
    </row>
    <row r="42" spans="3:17" x14ac:dyDescent="0.2">
      <c r="D42" s="4"/>
    </row>
    <row r="43" spans="3:17" x14ac:dyDescent="0.2">
      <c r="D43" s="4"/>
    </row>
    <row r="44" spans="3:17" x14ac:dyDescent="0.2">
      <c r="D44" s="4"/>
    </row>
    <row r="45" spans="3:17" x14ac:dyDescent="0.2">
      <c r="D45" s="4"/>
    </row>
    <row r="46" spans="3:17" x14ac:dyDescent="0.2">
      <c r="D46" s="4"/>
    </row>
    <row r="47" spans="3:17" x14ac:dyDescent="0.2">
      <c r="D47" s="4"/>
    </row>
    <row r="48" spans="3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workbookViewId="0">
      <selection activeCell="A21" sqref="A21:D21"/>
    </sheetView>
  </sheetViews>
  <sheetFormatPr defaultRowHeight="12.75" x14ac:dyDescent="0.2"/>
  <cols>
    <col min="1" max="1" width="19.7109375" style="15" customWidth="1"/>
    <col min="2" max="2" width="4.42578125" style="9" customWidth="1"/>
    <col min="3" max="3" width="12.7109375" style="15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5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8" t="s">
        <v>45</v>
      </c>
      <c r="I1" s="39" t="s">
        <v>46</v>
      </c>
      <c r="J1" s="40" t="s">
        <v>41</v>
      </c>
    </row>
    <row r="2" spans="1:16" x14ac:dyDescent="0.2">
      <c r="I2" s="41" t="s">
        <v>47</v>
      </c>
      <c r="J2" s="42" t="s">
        <v>48</v>
      </c>
    </row>
    <row r="3" spans="1:16" x14ac:dyDescent="0.2">
      <c r="A3" s="43" t="s">
        <v>49</v>
      </c>
      <c r="I3" s="41" t="s">
        <v>50</v>
      </c>
      <c r="J3" s="42" t="s">
        <v>51</v>
      </c>
    </row>
    <row r="4" spans="1:16" x14ac:dyDescent="0.2">
      <c r="I4" s="41" t="s">
        <v>52</v>
      </c>
      <c r="J4" s="42" t="s">
        <v>51</v>
      </c>
    </row>
    <row r="5" spans="1:16" ht="13.5" thickBot="1" x14ac:dyDescent="0.25">
      <c r="I5" s="44" t="s">
        <v>53</v>
      </c>
      <c r="J5" s="45" t="s">
        <v>54</v>
      </c>
    </row>
    <row r="10" spans="1:16" ht="13.5" thickBot="1" x14ac:dyDescent="0.25"/>
    <row r="11" spans="1:16" ht="12.75" customHeight="1" thickBot="1" x14ac:dyDescent="0.25">
      <c r="A11" s="15" t="str">
        <f t="shared" ref="A11:A21" si="0">P11</f>
        <v>OEJV 0074 </v>
      </c>
      <c r="B11" s="4" t="str">
        <f t="shared" ref="B11:B21" si="1">IF(H11=INT(H11),"I","II")</f>
        <v>I</v>
      </c>
      <c r="C11" s="15">
        <f t="shared" ref="C11:C21" si="2">1*G11</f>
        <v>52137.377209999999</v>
      </c>
      <c r="D11" s="9" t="str">
        <f t="shared" ref="D11:D21" si="3">VLOOKUP(F11,I$1:J$5,2,FALSE)</f>
        <v>vis</v>
      </c>
      <c r="E11" s="46">
        <f>VLOOKUP(C11,Active!C$21:E$973,3,FALSE)</f>
        <v>21346.1407708808</v>
      </c>
      <c r="F11" s="4" t="s">
        <v>53</v>
      </c>
      <c r="G11" s="9" t="str">
        <f t="shared" ref="G11:G21" si="4">MID(I11,3,LEN(I11)-3)</f>
        <v>52137.37721</v>
      </c>
      <c r="H11" s="15">
        <f t="shared" ref="H11:H21" si="5">1*K11</f>
        <v>21346</v>
      </c>
      <c r="I11" s="47" t="s">
        <v>55</v>
      </c>
      <c r="J11" s="48" t="s">
        <v>56</v>
      </c>
      <c r="K11" s="47">
        <v>21346</v>
      </c>
      <c r="L11" s="47" t="s">
        <v>57</v>
      </c>
      <c r="M11" s="48" t="s">
        <v>58</v>
      </c>
      <c r="N11" s="48" t="s">
        <v>59</v>
      </c>
      <c r="O11" s="49" t="s">
        <v>60</v>
      </c>
      <c r="P11" s="50" t="s">
        <v>61</v>
      </c>
    </row>
    <row r="12" spans="1:16" ht="12.75" customHeight="1" thickBot="1" x14ac:dyDescent="0.25">
      <c r="A12" s="15" t="str">
        <f t="shared" si="0"/>
        <v>OEJV 0074 </v>
      </c>
      <c r="B12" s="4" t="str">
        <f t="shared" si="1"/>
        <v>I</v>
      </c>
      <c r="C12" s="15">
        <f t="shared" si="2"/>
        <v>52488.493600000002</v>
      </c>
      <c r="D12" s="9" t="str">
        <f t="shared" si="3"/>
        <v>vis</v>
      </c>
      <c r="E12" s="46">
        <f>VLOOKUP(C12,Active!C$21:E$973,3,FALSE)</f>
        <v>21656.146249360441</v>
      </c>
      <c r="F12" s="4" t="s">
        <v>53</v>
      </c>
      <c r="G12" s="9" t="str">
        <f t="shared" si="4"/>
        <v>52488.49360</v>
      </c>
      <c r="H12" s="15">
        <f t="shared" si="5"/>
        <v>21656</v>
      </c>
      <c r="I12" s="47" t="s">
        <v>62</v>
      </c>
      <c r="J12" s="48" t="s">
        <v>63</v>
      </c>
      <c r="K12" s="47">
        <v>21656</v>
      </c>
      <c r="L12" s="47" t="s">
        <v>64</v>
      </c>
      <c r="M12" s="48" t="s">
        <v>58</v>
      </c>
      <c r="N12" s="48" t="s">
        <v>59</v>
      </c>
      <c r="O12" s="49" t="s">
        <v>65</v>
      </c>
      <c r="P12" s="50" t="s">
        <v>61</v>
      </c>
    </row>
    <row r="13" spans="1:16" ht="12.75" customHeight="1" thickBot="1" x14ac:dyDescent="0.25">
      <c r="A13" s="15" t="str">
        <f t="shared" si="0"/>
        <v>BAVM 172 </v>
      </c>
      <c r="B13" s="4" t="str">
        <f t="shared" si="1"/>
        <v>I</v>
      </c>
      <c r="C13" s="15">
        <f t="shared" si="2"/>
        <v>52864.5216</v>
      </c>
      <c r="D13" s="9" t="str">
        <f t="shared" si="3"/>
        <v>vis</v>
      </c>
      <c r="E13" s="46">
        <f>VLOOKUP(C13,Active!C$21:E$973,3,FALSE)</f>
        <v>21988.146530127004</v>
      </c>
      <c r="F13" s="4" t="s">
        <v>53</v>
      </c>
      <c r="G13" s="9" t="str">
        <f t="shared" si="4"/>
        <v>52864.5216</v>
      </c>
      <c r="H13" s="15">
        <f t="shared" si="5"/>
        <v>21988</v>
      </c>
      <c r="I13" s="47" t="s">
        <v>66</v>
      </c>
      <c r="J13" s="48" t="s">
        <v>67</v>
      </c>
      <c r="K13" s="47">
        <v>21988</v>
      </c>
      <c r="L13" s="47" t="s">
        <v>68</v>
      </c>
      <c r="M13" s="48" t="s">
        <v>69</v>
      </c>
      <c r="N13" s="48" t="s">
        <v>59</v>
      </c>
      <c r="O13" s="49" t="s">
        <v>70</v>
      </c>
      <c r="P13" s="50" t="s">
        <v>71</v>
      </c>
    </row>
    <row r="14" spans="1:16" ht="12.75" customHeight="1" thickBot="1" x14ac:dyDescent="0.25">
      <c r="A14" s="15" t="str">
        <f t="shared" si="0"/>
        <v>BAVM 186 </v>
      </c>
      <c r="B14" s="4" t="str">
        <f t="shared" si="1"/>
        <v>I</v>
      </c>
      <c r="C14" s="15">
        <f t="shared" si="2"/>
        <v>52898.500500000002</v>
      </c>
      <c r="D14" s="9" t="str">
        <f t="shared" si="3"/>
        <v>vis</v>
      </c>
      <c r="E14" s="46">
        <f>VLOOKUP(C14,Active!C$21:E$973,3,FALSE)</f>
        <v>22018.146967169298</v>
      </c>
      <c r="F14" s="4" t="s">
        <v>53</v>
      </c>
      <c r="G14" s="9" t="str">
        <f t="shared" si="4"/>
        <v>52898.5005</v>
      </c>
      <c r="H14" s="15">
        <f t="shared" si="5"/>
        <v>22018</v>
      </c>
      <c r="I14" s="47" t="s">
        <v>72</v>
      </c>
      <c r="J14" s="48" t="s">
        <v>73</v>
      </c>
      <c r="K14" s="47">
        <v>22018</v>
      </c>
      <c r="L14" s="47" t="s">
        <v>74</v>
      </c>
      <c r="M14" s="48" t="s">
        <v>58</v>
      </c>
      <c r="N14" s="48" t="s">
        <v>59</v>
      </c>
      <c r="O14" s="49" t="s">
        <v>70</v>
      </c>
      <c r="P14" s="50" t="s">
        <v>75</v>
      </c>
    </row>
    <row r="15" spans="1:16" ht="12.75" customHeight="1" thickBot="1" x14ac:dyDescent="0.25">
      <c r="A15" s="15" t="str">
        <f t="shared" si="0"/>
        <v>BAVM 172 </v>
      </c>
      <c r="B15" s="4" t="str">
        <f t="shared" si="1"/>
        <v>I</v>
      </c>
      <c r="C15" s="15">
        <f t="shared" si="2"/>
        <v>52899.631300000001</v>
      </c>
      <c r="D15" s="9" t="str">
        <f t="shared" si="3"/>
        <v>vis</v>
      </c>
      <c r="E15" s="46">
        <f>VLOOKUP(C15,Active!C$21:E$973,3,FALSE)</f>
        <v>22019.145366005261</v>
      </c>
      <c r="F15" s="4" t="s">
        <v>53</v>
      </c>
      <c r="G15" s="9" t="str">
        <f t="shared" si="4"/>
        <v>52899.6313</v>
      </c>
      <c r="H15" s="15">
        <f t="shared" si="5"/>
        <v>22019</v>
      </c>
      <c r="I15" s="47" t="s">
        <v>76</v>
      </c>
      <c r="J15" s="48" t="s">
        <v>77</v>
      </c>
      <c r="K15" s="47">
        <v>22019</v>
      </c>
      <c r="L15" s="47" t="s">
        <v>78</v>
      </c>
      <c r="M15" s="48" t="s">
        <v>69</v>
      </c>
      <c r="N15" s="48" t="s">
        <v>79</v>
      </c>
      <c r="O15" s="49" t="s">
        <v>70</v>
      </c>
      <c r="P15" s="50" t="s">
        <v>71</v>
      </c>
    </row>
    <row r="16" spans="1:16" ht="12.75" customHeight="1" thickBot="1" x14ac:dyDescent="0.25">
      <c r="A16" s="15" t="str">
        <f t="shared" si="0"/>
        <v>BAVM 172 </v>
      </c>
      <c r="B16" s="4" t="str">
        <f t="shared" si="1"/>
        <v>II</v>
      </c>
      <c r="C16" s="15">
        <f t="shared" si="2"/>
        <v>52902.483999999997</v>
      </c>
      <c r="D16" s="9" t="str">
        <f t="shared" si="3"/>
        <v>vis</v>
      </c>
      <c r="E16" s="46">
        <f>VLOOKUP(C16,Active!C$21:E$973,3,FALSE)</f>
        <v>22021.664053977813</v>
      </c>
      <c r="F16" s="4" t="s">
        <v>53</v>
      </c>
      <c r="G16" s="9" t="str">
        <f t="shared" si="4"/>
        <v>52902.4840</v>
      </c>
      <c r="H16" s="15">
        <f t="shared" si="5"/>
        <v>22021.5</v>
      </c>
      <c r="I16" s="47" t="s">
        <v>80</v>
      </c>
      <c r="J16" s="48" t="s">
        <v>81</v>
      </c>
      <c r="K16" s="47" t="s">
        <v>82</v>
      </c>
      <c r="L16" s="47" t="s">
        <v>83</v>
      </c>
      <c r="M16" s="48" t="s">
        <v>69</v>
      </c>
      <c r="N16" s="48" t="s">
        <v>79</v>
      </c>
      <c r="O16" s="49" t="s">
        <v>70</v>
      </c>
      <c r="P16" s="50" t="s">
        <v>71</v>
      </c>
    </row>
    <row r="17" spans="1:16" ht="12.75" customHeight="1" thickBot="1" x14ac:dyDescent="0.25">
      <c r="A17" s="15" t="str">
        <f t="shared" si="0"/>
        <v>BAVM 172 </v>
      </c>
      <c r="B17" s="4" t="str">
        <f t="shared" si="1"/>
        <v>II</v>
      </c>
      <c r="C17" s="15">
        <f t="shared" si="2"/>
        <v>52903.602200000001</v>
      </c>
      <c r="D17" s="9" t="str">
        <f t="shared" si="3"/>
        <v>vis</v>
      </c>
      <c r="E17" s="46">
        <f>VLOOKUP(C17,Active!C$21:E$973,3,FALSE)</f>
        <v>22022.651328100896</v>
      </c>
      <c r="F17" s="4" t="s">
        <v>53</v>
      </c>
      <c r="G17" s="9" t="str">
        <f t="shared" si="4"/>
        <v>52903.6022</v>
      </c>
      <c r="H17" s="15">
        <f t="shared" si="5"/>
        <v>22022.5</v>
      </c>
      <c r="I17" s="47" t="s">
        <v>84</v>
      </c>
      <c r="J17" s="48" t="s">
        <v>85</v>
      </c>
      <c r="K17" s="47" t="s">
        <v>86</v>
      </c>
      <c r="L17" s="47" t="s">
        <v>87</v>
      </c>
      <c r="M17" s="48" t="s">
        <v>69</v>
      </c>
      <c r="N17" s="48" t="s">
        <v>79</v>
      </c>
      <c r="O17" s="49" t="s">
        <v>70</v>
      </c>
      <c r="P17" s="50" t="s">
        <v>71</v>
      </c>
    </row>
    <row r="18" spans="1:16" ht="12.75" customHeight="1" thickBot="1" x14ac:dyDescent="0.25">
      <c r="A18" s="15" t="str">
        <f t="shared" si="0"/>
        <v>BAVM 172 </v>
      </c>
      <c r="B18" s="4" t="str">
        <f t="shared" si="1"/>
        <v>I</v>
      </c>
      <c r="C18" s="15">
        <f t="shared" si="2"/>
        <v>52907.560899999997</v>
      </c>
      <c r="D18" s="9" t="str">
        <f t="shared" si="3"/>
        <v>vis</v>
      </c>
      <c r="E18" s="46">
        <f>VLOOKUP(C18,Active!C$21:E$973,3,FALSE)</f>
        <v>22026.146518649122</v>
      </c>
      <c r="F18" s="4" t="s">
        <v>53</v>
      </c>
      <c r="G18" s="9" t="str">
        <f t="shared" si="4"/>
        <v>52907.5609</v>
      </c>
      <c r="H18" s="15">
        <f t="shared" si="5"/>
        <v>22026</v>
      </c>
      <c r="I18" s="47" t="s">
        <v>88</v>
      </c>
      <c r="J18" s="48" t="s">
        <v>89</v>
      </c>
      <c r="K18" s="47" t="s">
        <v>90</v>
      </c>
      <c r="L18" s="47" t="s">
        <v>91</v>
      </c>
      <c r="M18" s="48" t="s">
        <v>69</v>
      </c>
      <c r="N18" s="48" t="s">
        <v>79</v>
      </c>
      <c r="O18" s="49" t="s">
        <v>70</v>
      </c>
      <c r="P18" s="50" t="s">
        <v>71</v>
      </c>
    </row>
    <row r="19" spans="1:16" ht="12.75" customHeight="1" thickBot="1" x14ac:dyDescent="0.25">
      <c r="A19" s="15" t="str">
        <f t="shared" si="0"/>
        <v>BAVM 178 </v>
      </c>
      <c r="B19" s="4" t="str">
        <f t="shared" si="1"/>
        <v>II</v>
      </c>
      <c r="C19" s="15">
        <f t="shared" si="2"/>
        <v>53619.406600000002</v>
      </c>
      <c r="D19" s="9" t="str">
        <f t="shared" si="3"/>
        <v>vis</v>
      </c>
      <c r="E19" s="46">
        <f>VLOOKUP(C19,Active!C$21:E$973,3,FALSE)</f>
        <v>22654.644854577491</v>
      </c>
      <c r="F19" s="4" t="s">
        <v>53</v>
      </c>
      <c r="G19" s="9" t="str">
        <f t="shared" si="4"/>
        <v>53619.4066</v>
      </c>
      <c r="H19" s="15">
        <f t="shared" si="5"/>
        <v>22654.5</v>
      </c>
      <c r="I19" s="47" t="s">
        <v>92</v>
      </c>
      <c r="J19" s="48" t="s">
        <v>93</v>
      </c>
      <c r="K19" s="47" t="s">
        <v>94</v>
      </c>
      <c r="L19" s="47" t="s">
        <v>95</v>
      </c>
      <c r="M19" s="48" t="s">
        <v>58</v>
      </c>
      <c r="N19" s="48" t="s">
        <v>79</v>
      </c>
      <c r="O19" s="49" t="s">
        <v>70</v>
      </c>
      <c r="P19" s="50" t="s">
        <v>96</v>
      </c>
    </row>
    <row r="20" spans="1:16" ht="12.75" customHeight="1" thickBot="1" x14ac:dyDescent="0.25">
      <c r="A20" s="15" t="str">
        <f t="shared" si="0"/>
        <v>BAVM 220 </v>
      </c>
      <c r="B20" s="4" t="str">
        <f t="shared" si="1"/>
        <v>I</v>
      </c>
      <c r="C20" s="15">
        <f t="shared" si="2"/>
        <v>55691.5461</v>
      </c>
      <c r="D20" s="9" t="str">
        <f t="shared" si="3"/>
        <v>vis</v>
      </c>
      <c r="E20" s="46">
        <f>VLOOKUP(C20,Active!C$21:E$973,3,FALSE)</f>
        <v>24484.165251429549</v>
      </c>
      <c r="F20" s="4" t="s">
        <v>53</v>
      </c>
      <c r="G20" s="9" t="str">
        <f t="shared" si="4"/>
        <v>55691.5461</v>
      </c>
      <c r="H20" s="15">
        <f t="shared" si="5"/>
        <v>24484</v>
      </c>
      <c r="I20" s="47" t="s">
        <v>103</v>
      </c>
      <c r="J20" s="48" t="s">
        <v>104</v>
      </c>
      <c r="K20" s="47" t="s">
        <v>105</v>
      </c>
      <c r="L20" s="47" t="s">
        <v>106</v>
      </c>
      <c r="M20" s="48" t="s">
        <v>58</v>
      </c>
      <c r="N20" s="48" t="s">
        <v>79</v>
      </c>
      <c r="O20" s="49" t="s">
        <v>70</v>
      </c>
      <c r="P20" s="50" t="s">
        <v>107</v>
      </c>
    </row>
    <row r="21" spans="1:16" ht="12.75" customHeight="1" thickBot="1" x14ac:dyDescent="0.25">
      <c r="A21" s="15" t="str">
        <f t="shared" si="0"/>
        <v>BAVM 212 </v>
      </c>
      <c r="B21" s="4" t="str">
        <f t="shared" si="1"/>
        <v>I</v>
      </c>
      <c r="C21" s="15">
        <f t="shared" si="2"/>
        <v>55059.541299999997</v>
      </c>
      <c r="D21" s="9" t="str">
        <f t="shared" si="3"/>
        <v>vis</v>
      </c>
      <c r="E21" s="46">
        <f>VLOOKUP(C21,Active!C$21:E$973,3,FALSE)</f>
        <v>23926.159541626512</v>
      </c>
      <c r="F21" s="4" t="s">
        <v>53</v>
      </c>
      <c r="G21" s="9" t="str">
        <f t="shared" si="4"/>
        <v>55059.5413</v>
      </c>
      <c r="H21" s="15">
        <f t="shared" si="5"/>
        <v>23926</v>
      </c>
      <c r="I21" s="47" t="s">
        <v>97</v>
      </c>
      <c r="J21" s="48" t="s">
        <v>98</v>
      </c>
      <c r="K21" s="47" t="s">
        <v>99</v>
      </c>
      <c r="L21" s="47" t="s">
        <v>100</v>
      </c>
      <c r="M21" s="48" t="s">
        <v>58</v>
      </c>
      <c r="N21" s="48" t="s">
        <v>79</v>
      </c>
      <c r="O21" s="49" t="s">
        <v>101</v>
      </c>
      <c r="P21" s="50" t="s">
        <v>102</v>
      </c>
    </row>
    <row r="22" spans="1:16" x14ac:dyDescent="0.2">
      <c r="B22" s="4"/>
      <c r="F22" s="4"/>
    </row>
    <row r="23" spans="1:16" x14ac:dyDescent="0.2">
      <c r="B23" s="4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</sheetData>
  <phoneticPr fontId="6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www.bav-astro.de/sfs/BAVM_link.php?BAVMnr=172"/>
    <hyperlink ref="P14" r:id="rId4" display="http://www.bav-astro.de/sfs/BAVM_link.php?BAVMnr=186"/>
    <hyperlink ref="P15" r:id="rId5" display="http://www.bav-astro.de/sfs/BAVM_link.php?BAVMnr=172"/>
    <hyperlink ref="P16" r:id="rId6" display="http://www.bav-astro.de/sfs/BAVM_link.php?BAVMnr=172"/>
    <hyperlink ref="P17" r:id="rId7" display="http://www.bav-astro.de/sfs/BAVM_link.php?BAVMnr=172"/>
    <hyperlink ref="P18" r:id="rId8" display="http://www.bav-astro.de/sfs/BAVM_link.php?BAVMnr=172"/>
    <hyperlink ref="P19" r:id="rId9" display="http://www.bav-astro.de/sfs/BAVM_link.php?BAVMnr=178"/>
    <hyperlink ref="P21" r:id="rId10" display="http://www.bav-astro.de/sfs/BAVM_link.php?BAVMnr=212"/>
    <hyperlink ref="P20" r:id="rId11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2024-01-31T04:11:12Z</dcterms:modified>
</cp:coreProperties>
</file>