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08146E9-4278-4B7E-B105-45BFA008FC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old)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37" i="1" l="1"/>
  <c r="F37" i="1"/>
  <c r="G37" i="1"/>
  <c r="K37" i="1"/>
  <c r="N37" i="1"/>
  <c r="P37" i="1"/>
  <c r="E36" i="1"/>
  <c r="F36" i="1"/>
  <c r="G36" i="1"/>
  <c r="K36" i="1"/>
  <c r="N36" i="1"/>
  <c r="P36" i="1"/>
  <c r="E38" i="1"/>
  <c r="F38" i="1"/>
  <c r="G38" i="1"/>
  <c r="H38" i="1"/>
  <c r="C21" i="1"/>
  <c r="E21" i="1"/>
  <c r="F21" i="1"/>
  <c r="G21" i="1"/>
  <c r="H21" i="1"/>
  <c r="D9" i="1"/>
  <c r="C9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N38" i="1"/>
  <c r="P38" i="1"/>
  <c r="C9" i="3"/>
  <c r="D9" i="3"/>
  <c r="F16" i="3"/>
  <c r="F17" i="3" s="1"/>
  <c r="C21" i="3"/>
  <c r="C17" i="3"/>
  <c r="E22" i="3"/>
  <c r="F22" i="3"/>
  <c r="G22" i="3"/>
  <c r="H22" i="3"/>
  <c r="N22" i="3"/>
  <c r="O22" i="3"/>
  <c r="E23" i="3"/>
  <c r="F23" i="3"/>
  <c r="G23" i="3"/>
  <c r="H23" i="3"/>
  <c r="N23" i="3"/>
  <c r="O23" i="3"/>
  <c r="E24" i="3"/>
  <c r="F24" i="3"/>
  <c r="G24" i="3"/>
  <c r="H24" i="3"/>
  <c r="N24" i="3"/>
  <c r="P24" i="3"/>
  <c r="E25" i="3"/>
  <c r="F25" i="3"/>
  <c r="G25" i="3"/>
  <c r="H25" i="3"/>
  <c r="N25" i="3"/>
  <c r="O25" i="3"/>
  <c r="P25" i="3"/>
  <c r="E26" i="3"/>
  <c r="F26" i="3"/>
  <c r="G26" i="3"/>
  <c r="H26" i="3"/>
  <c r="N26" i="3"/>
  <c r="O26" i="3"/>
  <c r="P26" i="3"/>
  <c r="E27" i="3"/>
  <c r="F27" i="3"/>
  <c r="G27" i="3"/>
  <c r="H27" i="3"/>
  <c r="N27" i="3"/>
  <c r="O27" i="3"/>
  <c r="E28" i="3"/>
  <c r="F28" i="3"/>
  <c r="G28" i="3"/>
  <c r="H28" i="3"/>
  <c r="N28" i="3"/>
  <c r="O28" i="3"/>
  <c r="P28" i="3"/>
  <c r="E29" i="3"/>
  <c r="F29" i="3"/>
  <c r="G29" i="3"/>
  <c r="H29" i="3"/>
  <c r="N29" i="3"/>
  <c r="O29" i="3"/>
  <c r="P29" i="3"/>
  <c r="E30" i="3"/>
  <c r="F30" i="3"/>
  <c r="G30" i="3"/>
  <c r="H30" i="3"/>
  <c r="N30" i="3"/>
  <c r="O30" i="3"/>
  <c r="E31" i="3"/>
  <c r="F31" i="3"/>
  <c r="G31" i="3"/>
  <c r="H31" i="3"/>
  <c r="N31" i="3"/>
  <c r="O31" i="3"/>
  <c r="E32" i="3"/>
  <c r="F32" i="3"/>
  <c r="G32" i="3"/>
  <c r="H32" i="3"/>
  <c r="N32" i="3"/>
  <c r="P32" i="3"/>
  <c r="E33" i="3"/>
  <c r="F33" i="3"/>
  <c r="G33" i="3"/>
  <c r="H33" i="3"/>
  <c r="N33" i="3"/>
  <c r="O33" i="3"/>
  <c r="P33" i="3"/>
  <c r="E34" i="3"/>
  <c r="F34" i="3"/>
  <c r="G34" i="3"/>
  <c r="H34" i="3"/>
  <c r="N34" i="3"/>
  <c r="O34" i="3"/>
  <c r="P34" i="3"/>
  <c r="E35" i="3"/>
  <c r="F35" i="3"/>
  <c r="G35" i="3"/>
  <c r="H35" i="3"/>
  <c r="N35" i="3"/>
  <c r="O35" i="3"/>
  <c r="F16" i="1"/>
  <c r="F17" i="1" s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N35" i="1"/>
  <c r="O35" i="1"/>
  <c r="P35" i="1"/>
  <c r="N34" i="1"/>
  <c r="P34" i="1"/>
  <c r="N33" i="1"/>
  <c r="P33" i="1"/>
  <c r="N32" i="1"/>
  <c r="P32" i="1"/>
  <c r="N31" i="1"/>
  <c r="P31" i="1"/>
  <c r="O31" i="1"/>
  <c r="N30" i="1"/>
  <c r="P30" i="1"/>
  <c r="N29" i="1"/>
  <c r="P29" i="1"/>
  <c r="O29" i="1"/>
  <c r="N28" i="1"/>
  <c r="P28" i="1"/>
  <c r="O28" i="1"/>
  <c r="N27" i="1"/>
  <c r="P27" i="1"/>
  <c r="N26" i="1"/>
  <c r="O26" i="1"/>
  <c r="P26" i="1"/>
  <c r="N25" i="1"/>
  <c r="P25" i="1"/>
  <c r="O25" i="1"/>
  <c r="N24" i="1"/>
  <c r="P24" i="1"/>
  <c r="O24" i="1"/>
  <c r="N23" i="1"/>
  <c r="P23" i="1"/>
  <c r="N22" i="1"/>
  <c r="O22" i="1"/>
  <c r="O32" i="1"/>
  <c r="O34" i="1"/>
  <c r="O37" i="1"/>
  <c r="C17" i="1"/>
  <c r="E21" i="3"/>
  <c r="F21" i="3"/>
  <c r="G21" i="3"/>
  <c r="H21" i="3"/>
  <c r="O38" i="1"/>
  <c r="O36" i="1"/>
  <c r="N21" i="3"/>
  <c r="N21" i="1"/>
  <c r="O21" i="1"/>
  <c r="P21" i="1"/>
  <c r="P21" i="3"/>
  <c r="O21" i="3"/>
  <c r="P22" i="1"/>
  <c r="O32" i="3"/>
  <c r="O24" i="3"/>
  <c r="O23" i="1"/>
  <c r="P35" i="3"/>
  <c r="P27" i="3"/>
  <c r="P30" i="3"/>
  <c r="P22" i="3"/>
  <c r="O30" i="1"/>
  <c r="O27" i="1"/>
  <c r="O33" i="1"/>
  <c r="P31" i="3"/>
  <c r="P23" i="3"/>
  <c r="C12" i="3"/>
  <c r="C11" i="3"/>
  <c r="C11" i="1"/>
  <c r="C12" i="1"/>
  <c r="C16" i="1" l="1"/>
  <c r="D18" i="1" s="1"/>
  <c r="L32" i="1"/>
  <c r="L25" i="1"/>
  <c r="L28" i="1"/>
  <c r="L36" i="1"/>
  <c r="L30" i="1"/>
  <c r="L35" i="1"/>
  <c r="L21" i="1"/>
  <c r="L29" i="1"/>
  <c r="C15" i="1"/>
  <c r="L34" i="1"/>
  <c r="L37" i="1"/>
  <c r="L22" i="1"/>
  <c r="L23" i="1"/>
  <c r="L26" i="1"/>
  <c r="L31" i="1"/>
  <c r="L33" i="1"/>
  <c r="L27" i="1"/>
  <c r="L38" i="1"/>
  <c r="L24" i="1"/>
  <c r="L33" i="3"/>
  <c r="L29" i="3"/>
  <c r="L22" i="3"/>
  <c r="L26" i="3"/>
  <c r="L32" i="3"/>
  <c r="L24" i="3"/>
  <c r="L30" i="3"/>
  <c r="L34" i="3"/>
  <c r="L28" i="3"/>
  <c r="L21" i="3"/>
  <c r="L23" i="3"/>
  <c r="L27" i="3"/>
  <c r="L25" i="3"/>
  <c r="L31" i="3"/>
  <c r="L35" i="3"/>
  <c r="C15" i="3"/>
  <c r="C16" i="3"/>
  <c r="D18" i="3" s="1"/>
  <c r="C18" i="3" l="1"/>
  <c r="F18" i="3"/>
  <c r="F19" i="3" s="1"/>
  <c r="C18" i="1"/>
  <c r="F18" i="1"/>
  <c r="F19" i="1" s="1"/>
</calcChain>
</file>

<file path=xl/sharedStrings.xml><?xml version="1.0" encoding="utf-8"?>
<sst xmlns="http://schemas.openxmlformats.org/spreadsheetml/2006/main" count="235" uniqueCount="104">
  <si>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</si>
  <si>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</si>
  <si>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</si>
  <si>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</si>
  <si>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</si>
  <si>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</si>
  <si>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</si>
  <si>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</si>
  <si>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</si>
  <si>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</si>
  <si>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</si>
  <si>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</si>
  <si>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</si>
  <si>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</si>
  <si>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</si>
  <si>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</si>
  <si>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</si>
  <si>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</si>
  <si>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</si>
  <si>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</si>
  <si>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</si>
  <si>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</si>
  <si>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</si>
  <si>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</si>
  <si>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</si>
  <si>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</si>
  <si>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</si>
  <si>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Date/Time (UT)</t>
  </si>
  <si>
    <t>Date/Time (Mountain Time, USA)</t>
  </si>
  <si>
    <t>EA</t>
  </si>
  <si>
    <t>C.Hoffmeister VSS 1.485</t>
  </si>
  <si>
    <t>C.Hoffmeister VSS 1.486</t>
  </si>
  <si>
    <t>NOTE:  not possible to cover this target from USA until Sept 2005 because of period so close to 1.5 days.</t>
  </si>
  <si>
    <t># of data points:</t>
  </si>
  <si>
    <t>V610 Cyg / na</t>
  </si>
  <si>
    <t>21 29 07.29 +40 40 11.3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</si>
  <si>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</si>
  <si>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</si>
  <si>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</si>
  <si>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</si>
  <si>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</si>
  <si>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</si>
  <si>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</si>
  <si>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</si>
  <si>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</si>
  <si>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</si>
  <si>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</si>
  <si>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2429078.477 </t>
  </si>
  <si>
    <t> 28.06.1938 23:26 </t>
  </si>
  <si>
    <t> -0.010 </t>
  </si>
  <si>
    <t>P </t>
  </si>
  <si>
    <t> C.Hoffmeister </t>
  </si>
  <si>
    <t> VSS 1.485 </t>
  </si>
  <si>
    <t>2429102.443 </t>
  </si>
  <si>
    <t> 22.07.1938 22:37 </t>
  </si>
  <si>
    <t> -0.012 </t>
  </si>
  <si>
    <t>2429108.432 </t>
  </si>
  <si>
    <t> 28.07.1938 22:22 </t>
  </si>
  <si>
    <t> -0.015 </t>
  </si>
  <si>
    <t>2429135.411 </t>
  </si>
  <si>
    <t> 24.08.1938 21:51 </t>
  </si>
  <si>
    <t> 0.000 </t>
  </si>
  <si>
    <t>2429165.332 </t>
  </si>
  <si>
    <t> 23.09.1938 19:58 </t>
  </si>
  <si>
    <t> -0.039 </t>
  </si>
  <si>
    <t>2429216.267 </t>
  </si>
  <si>
    <t> 13.11.1938 18:24 </t>
  </si>
  <si>
    <t> -0.036 </t>
  </si>
  <si>
    <t>2429424.510 </t>
  </si>
  <si>
    <t> 10.06.1939 00:14 </t>
  </si>
  <si>
    <t>2429514.426 </t>
  </si>
  <si>
    <t> 07.09.1939 22:13 </t>
  </si>
  <si>
    <t> 0.022 </t>
  </si>
  <si>
    <t>2429553.374 </t>
  </si>
  <si>
    <t> 16.10.1939 20:58 </t>
  </si>
  <si>
    <t>2429571.359 </t>
  </si>
  <si>
    <t> 03.11.1939 20:36 </t>
  </si>
  <si>
    <t> 0.031 </t>
  </si>
  <si>
    <t>2431003.408 </t>
  </si>
  <si>
    <t> 05.10.1943 21:47 </t>
  </si>
  <si>
    <t> -0.006 </t>
  </si>
  <si>
    <t>2431030.418 </t>
  </si>
  <si>
    <t> 01.11.1943 22:01 </t>
  </si>
  <si>
    <t> 0.040 </t>
  </si>
  <si>
    <t>2432823.511 </t>
  </si>
  <si>
    <t> 29.09.1948 00:15 </t>
  </si>
  <si>
    <t> 0.029 </t>
  </si>
  <si>
    <t>V </t>
  </si>
  <si>
    <t> VSS 1.486 </t>
  </si>
  <si>
    <t>2432835.491 </t>
  </si>
  <si>
    <t> 10.10.1948 23:47 </t>
  </si>
  <si>
    <t> 0.025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</si>
  <si>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</si>
  <si>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</si>
  <si>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</si>
  <si>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</si>
  <si>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</si>
  <si>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</si>
  <si>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</si>
  <si>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</si>
  <si>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VSB 060</t>
  </si>
  <si>
    <t>VSB_061</t>
  </si>
  <si>
    <t>JAVSO..44..164</t>
  </si>
  <si>
    <t>V0610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</si>
</sst>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6" formatCode="0.000000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0" xfId="0" applyNumberFormat="1" applyAlignment="1"/>
    <xf numFmtId="2" fontId="0" fillId="0" borderId="0" xfId="0" applyNumberFormat="1" applyAlignment="1"/>
    <xf numFmtId="22" fontId="0" fillId="0" borderId="0" xfId="0" applyNumberFormat="1" applyAlignment="1"/>
    <xf numFmtId="14" fontId="0" fillId="0" borderId="0" xfId="0" applyNumberFormat="1" applyAlignment="1"/>
    <xf numFmtId="176" fontId="0" fillId="0" borderId="0" xfId="0" applyNumberForma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/>
    <xf numFmtId="172" fontId="0" fillId="0" borderId="0" xfId="0" applyNumberFormat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V0610 Cyg - O-C Diagr.</a:t>
            </a:r>
          </a:p>
        </c:rich>
      </c:tx>
      <c:layout>
        <c:manualLayout>
          <c:xMode val="edge"/>
          <c:yMode val="edge"/>
          <c:x val="0.35506039446612914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93899745641264E-2"/>
          <c:y val="0.12647076986266351"/>
          <c:w val="0.87135578982280315"/>
          <c:h val="0.70000100528637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-9404.5</c:v>
                </c:pt>
                <c:pt idx="1">
                  <c:v>-9404.5</c:v>
                </c:pt>
                <c:pt idx="2">
                  <c:v>-9396.5</c:v>
                </c:pt>
                <c:pt idx="3">
                  <c:v>-9394.5</c:v>
                </c:pt>
                <c:pt idx="4">
                  <c:v>-9385.5</c:v>
                </c:pt>
                <c:pt idx="5">
                  <c:v>-9375.5</c:v>
                </c:pt>
                <c:pt idx="6">
                  <c:v>-9358.5</c:v>
                </c:pt>
                <c:pt idx="7">
                  <c:v>-9289</c:v>
                </c:pt>
                <c:pt idx="8">
                  <c:v>-9259</c:v>
                </c:pt>
                <c:pt idx="9">
                  <c:v>-9246</c:v>
                </c:pt>
                <c:pt idx="10">
                  <c:v>-9240</c:v>
                </c:pt>
                <c:pt idx="11">
                  <c:v>-8762</c:v>
                </c:pt>
                <c:pt idx="12">
                  <c:v>-8753</c:v>
                </c:pt>
                <c:pt idx="13">
                  <c:v>-8154.5</c:v>
                </c:pt>
                <c:pt idx="14">
                  <c:v>-8150.5</c:v>
                </c:pt>
                <c:pt idx="15">
                  <c:v>-3.5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Active!$H$21:$H$1006</c:f>
              <c:numCache>
                <c:formatCode>0.0000</c:formatCode>
                <c:ptCount val="986"/>
                <c:pt idx="0">
                  <c:v>-0.22393249999731779</c:v>
                </c:pt>
                <c:pt idx="1">
                  <c:v>-0.23393249999935506</c:v>
                </c:pt>
                <c:pt idx="2">
                  <c:v>-0.23605250000036904</c:v>
                </c:pt>
                <c:pt idx="3">
                  <c:v>-0.23908249999658437</c:v>
                </c:pt>
                <c:pt idx="4">
                  <c:v>-0.22421749999921303</c:v>
                </c:pt>
                <c:pt idx="5">
                  <c:v>-0.26336749999973108</c:v>
                </c:pt>
                <c:pt idx="6">
                  <c:v>-0.26062249999813503</c:v>
                </c:pt>
                <c:pt idx="7">
                  <c:v>-0.2406650000011723</c:v>
                </c:pt>
                <c:pt idx="8">
                  <c:v>-0.2051149999970221</c:v>
                </c:pt>
                <c:pt idx="9">
                  <c:v>-0.20530999999755295</c:v>
                </c:pt>
                <c:pt idx="10">
                  <c:v>-0.1963999999970838</c:v>
                </c:pt>
                <c:pt idx="11">
                  <c:v>-0.24256999999852269</c:v>
                </c:pt>
                <c:pt idx="12">
                  <c:v>-0.19670499999483582</c:v>
                </c:pt>
                <c:pt idx="13">
                  <c:v>-0.21868249999533873</c:v>
                </c:pt>
                <c:pt idx="14">
                  <c:v>-0.22274249999463791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CC-4357-8F9B-A45FDF19A3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Active!$D$34:$D$57</c:f>
                <c:numCache>
                  <c:formatCode>General</c:formatCode>
                  <c:ptCount val="24"/>
                  <c:pt idx="3">
                    <c:v>5.0000000000000001E-4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-9404.5</c:v>
                </c:pt>
                <c:pt idx="1">
                  <c:v>-9404.5</c:v>
                </c:pt>
                <c:pt idx="2">
                  <c:v>-9396.5</c:v>
                </c:pt>
                <c:pt idx="3">
                  <c:v>-9394.5</c:v>
                </c:pt>
                <c:pt idx="4">
                  <c:v>-9385.5</c:v>
                </c:pt>
                <c:pt idx="5">
                  <c:v>-9375.5</c:v>
                </c:pt>
                <c:pt idx="6">
                  <c:v>-9358.5</c:v>
                </c:pt>
                <c:pt idx="7">
                  <c:v>-9289</c:v>
                </c:pt>
                <c:pt idx="8">
                  <c:v>-9259</c:v>
                </c:pt>
                <c:pt idx="9">
                  <c:v>-9246</c:v>
                </c:pt>
                <c:pt idx="10">
                  <c:v>-9240</c:v>
                </c:pt>
                <c:pt idx="11">
                  <c:v>-8762</c:v>
                </c:pt>
                <c:pt idx="12">
                  <c:v>-8753</c:v>
                </c:pt>
                <c:pt idx="13">
                  <c:v>-8154.5</c:v>
                </c:pt>
                <c:pt idx="14">
                  <c:v>-8150.5</c:v>
                </c:pt>
                <c:pt idx="15">
                  <c:v>-3.5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Active!$I$21:$I$1006</c:f>
              <c:numCache>
                <c:formatCode>0.0000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CC-4357-8F9B-A45FDF19A3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0">
                    <c:v>0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0">
                    <c:v>0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-9404.5</c:v>
                </c:pt>
                <c:pt idx="1">
                  <c:v>-9404.5</c:v>
                </c:pt>
                <c:pt idx="2">
                  <c:v>-9396.5</c:v>
                </c:pt>
                <c:pt idx="3">
                  <c:v>-9394.5</c:v>
                </c:pt>
                <c:pt idx="4">
                  <c:v>-9385.5</c:v>
                </c:pt>
                <c:pt idx="5">
                  <c:v>-9375.5</c:v>
                </c:pt>
                <c:pt idx="6">
                  <c:v>-9358.5</c:v>
                </c:pt>
                <c:pt idx="7">
                  <c:v>-9289</c:v>
                </c:pt>
                <c:pt idx="8">
                  <c:v>-9259</c:v>
                </c:pt>
                <c:pt idx="9">
                  <c:v>-9246</c:v>
                </c:pt>
                <c:pt idx="10">
                  <c:v>-9240</c:v>
                </c:pt>
                <c:pt idx="11">
                  <c:v>-8762</c:v>
                </c:pt>
                <c:pt idx="12">
                  <c:v>-8753</c:v>
                </c:pt>
                <c:pt idx="13">
                  <c:v>-8154.5</c:v>
                </c:pt>
                <c:pt idx="14">
                  <c:v>-8150.5</c:v>
                </c:pt>
                <c:pt idx="15">
                  <c:v>-3.5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Active!$J$21:$J$1006</c:f>
              <c:numCache>
                <c:formatCode>0.0000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CC-4357-8F9B-A45FDF19A3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-9404.5</c:v>
                </c:pt>
                <c:pt idx="1">
                  <c:v>-9404.5</c:v>
                </c:pt>
                <c:pt idx="2">
                  <c:v>-9396.5</c:v>
                </c:pt>
                <c:pt idx="3">
                  <c:v>-9394.5</c:v>
                </c:pt>
                <c:pt idx="4">
                  <c:v>-9385.5</c:v>
                </c:pt>
                <c:pt idx="5">
                  <c:v>-9375.5</c:v>
                </c:pt>
                <c:pt idx="6">
                  <c:v>-9358.5</c:v>
                </c:pt>
                <c:pt idx="7">
                  <c:v>-9289</c:v>
                </c:pt>
                <c:pt idx="8">
                  <c:v>-9259</c:v>
                </c:pt>
                <c:pt idx="9">
                  <c:v>-9246</c:v>
                </c:pt>
                <c:pt idx="10">
                  <c:v>-9240</c:v>
                </c:pt>
                <c:pt idx="11">
                  <c:v>-8762</c:v>
                </c:pt>
                <c:pt idx="12">
                  <c:v>-8753</c:v>
                </c:pt>
                <c:pt idx="13">
                  <c:v>-8154.5</c:v>
                </c:pt>
                <c:pt idx="14">
                  <c:v>-8150.5</c:v>
                </c:pt>
                <c:pt idx="15">
                  <c:v>-3.5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Active!$K$21:$K$1006</c:f>
              <c:numCache>
                <c:formatCode>0.0000</c:formatCode>
                <c:ptCount val="986"/>
                <c:pt idx="15">
                  <c:v>-5.3475000022444874E-3</c:v>
                </c:pt>
                <c:pt idx="16">
                  <c:v>-1.2999999962630682E-3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CC-4357-8F9B-A45FDF19A3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-9404.5</c:v>
                </c:pt>
                <c:pt idx="1">
                  <c:v>-9404.5</c:v>
                </c:pt>
                <c:pt idx="2">
                  <c:v>-9396.5</c:v>
                </c:pt>
                <c:pt idx="3">
                  <c:v>-9394.5</c:v>
                </c:pt>
                <c:pt idx="4">
                  <c:v>-9385.5</c:v>
                </c:pt>
                <c:pt idx="5">
                  <c:v>-9375.5</c:v>
                </c:pt>
                <c:pt idx="6">
                  <c:v>-9358.5</c:v>
                </c:pt>
                <c:pt idx="7">
                  <c:v>-9289</c:v>
                </c:pt>
                <c:pt idx="8">
                  <c:v>-9259</c:v>
                </c:pt>
                <c:pt idx="9">
                  <c:v>-9246</c:v>
                </c:pt>
                <c:pt idx="10">
                  <c:v>-9240</c:v>
                </c:pt>
                <c:pt idx="11">
                  <c:v>-8762</c:v>
                </c:pt>
                <c:pt idx="12">
                  <c:v>-8753</c:v>
                </c:pt>
                <c:pt idx="13">
                  <c:v>-8154.5</c:v>
                </c:pt>
                <c:pt idx="14">
                  <c:v>-8150.5</c:v>
                </c:pt>
                <c:pt idx="15">
                  <c:v>-3.5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Active!$L$21:$L$1006</c:f>
              <c:numCache>
                <c:formatCode>0.0000</c:formatCode>
                <c:ptCount val="986"/>
                <c:pt idx="0">
                  <c:v>-0.23441458515367924</c:v>
                </c:pt>
                <c:pt idx="1">
                  <c:v>-0.23441458515367924</c:v>
                </c:pt>
                <c:pt idx="2">
                  <c:v>-0.23421805444604693</c:v>
                </c:pt>
                <c:pt idx="3">
                  <c:v>-0.23416892176913887</c:v>
                </c:pt>
                <c:pt idx="4">
                  <c:v>-0.23394782472305253</c:v>
                </c:pt>
                <c:pt idx="5">
                  <c:v>-0.23370216133851215</c:v>
                </c:pt>
                <c:pt idx="6">
                  <c:v>-0.23328453358479351</c:v>
                </c:pt>
                <c:pt idx="7">
                  <c:v>-0.23157717306223788</c:v>
                </c:pt>
                <c:pt idx="8">
                  <c:v>-0.23084018290861677</c:v>
                </c:pt>
                <c:pt idx="9">
                  <c:v>-0.23052082050871428</c:v>
                </c:pt>
                <c:pt idx="10">
                  <c:v>-0.23037342247799003</c:v>
                </c:pt>
                <c:pt idx="11">
                  <c:v>-0.21863071269696005</c:v>
                </c:pt>
                <c:pt idx="12">
                  <c:v>-0.21840961565087372</c:v>
                </c:pt>
                <c:pt idx="13">
                  <c:v>-0.2037066620861322</c:v>
                </c:pt>
                <c:pt idx="14">
                  <c:v>-0.20360839673231604</c:v>
                </c:pt>
                <c:pt idx="15">
                  <c:v>-3.466437347271365E-3</c:v>
                </c:pt>
                <c:pt idx="16">
                  <c:v>-3.3804551626822332E-3</c:v>
                </c:pt>
                <c:pt idx="17">
                  <c:v>-3.3804551626822332E-3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CC-4357-8F9B-A45FDF19A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170864"/>
        <c:axId val="1"/>
      </c:scatterChart>
      <c:valAx>
        <c:axId val="88917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7325896012572"/>
              <c:y val="0.8823541763161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763293310463125E-3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70864"/>
        <c:crosses val="autoZero"/>
        <c:crossBetween val="midCat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75489706153798"/>
          <c:y val="0.93235417631619577"/>
          <c:w val="0.4545458147062663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V610 Cyg - O-C Diagr.</a:t>
            </a:r>
          </a:p>
        </c:rich>
      </c:tx>
      <c:layout>
        <c:manualLayout>
          <c:xMode val="edge"/>
          <c:yMode val="edge"/>
          <c:x val="0.35506039446612914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93899745641264E-2"/>
          <c:y val="0.12647076986266351"/>
          <c:w val="0.87993212633680717"/>
          <c:h val="0.70000100528637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(old)'!$F$21:$F$1007</c:f>
              <c:numCache>
                <c:formatCode>General</c:formatCode>
                <c:ptCount val="987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38</c:v>
                </c:pt>
                <c:pt idx="5">
                  <c:v>58</c:v>
                </c:pt>
                <c:pt idx="6">
                  <c:v>92</c:v>
                </c:pt>
                <c:pt idx="7">
                  <c:v>231</c:v>
                </c:pt>
                <c:pt idx="8">
                  <c:v>291</c:v>
                </c:pt>
                <c:pt idx="9">
                  <c:v>317</c:v>
                </c:pt>
                <c:pt idx="10">
                  <c:v>329</c:v>
                </c:pt>
                <c:pt idx="11">
                  <c:v>1285</c:v>
                </c:pt>
                <c:pt idx="12">
                  <c:v>1303</c:v>
                </c:pt>
                <c:pt idx="13">
                  <c:v>2500</c:v>
                </c:pt>
                <c:pt idx="14">
                  <c:v>2508</c:v>
                </c:pt>
              </c:numCache>
            </c:numRef>
          </c:xVal>
          <c:yVal>
            <c:numRef>
              <c:f>'A (old)'!$H$21:$H$1007</c:f>
              <c:numCache>
                <c:formatCode>0.0000</c:formatCode>
                <c:ptCount val="987"/>
                <c:pt idx="0">
                  <c:v>0</c:v>
                </c:pt>
                <c:pt idx="1">
                  <c:v>-1.0000000002037268E-2</c:v>
                </c:pt>
                <c:pt idx="2">
                  <c:v>-1.2220512002386386E-2</c:v>
                </c:pt>
                <c:pt idx="3">
                  <c:v>-1.5275640002073487E-2</c:v>
                </c:pt>
                <c:pt idx="4">
                  <c:v>-5.2371600031619892E-4</c:v>
                </c:pt>
                <c:pt idx="5">
                  <c:v>-3.9799356003641151E-2</c:v>
                </c:pt>
                <c:pt idx="6">
                  <c:v>-3.7267944000632269E-2</c:v>
                </c:pt>
                <c:pt idx="7">
                  <c:v>-1.8183642001531553E-2</c:v>
                </c:pt>
                <c:pt idx="8">
                  <c:v>1.6989437997835921E-2</c:v>
                </c:pt>
                <c:pt idx="9">
                  <c:v>1.6631105998385465E-2</c:v>
                </c:pt>
                <c:pt idx="10">
                  <c:v>2.5465721999353264E-2</c:v>
                </c:pt>
                <c:pt idx="11">
                  <c:v>-2.6709870002378011E-2</c:v>
                </c:pt>
                <c:pt idx="12">
                  <c:v>1.904205400205683E-2</c:v>
                </c:pt>
                <c:pt idx="13">
                  <c:v>-1.0455000003275927E-2</c:v>
                </c:pt>
                <c:pt idx="14">
                  <c:v>-1.4565256002242677E-2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F-4D73-BE63-CD475700F19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(old)'!$D$34:$D$58</c:f>
                <c:numCache>
                  <c:formatCode>General</c:formatCode>
                  <c:ptCount val="2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(old)'!$F$21:$F$1007</c:f>
              <c:numCache>
                <c:formatCode>General</c:formatCode>
                <c:ptCount val="987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38</c:v>
                </c:pt>
                <c:pt idx="5">
                  <c:v>58</c:v>
                </c:pt>
                <c:pt idx="6">
                  <c:v>92</c:v>
                </c:pt>
                <c:pt idx="7">
                  <c:v>231</c:v>
                </c:pt>
                <c:pt idx="8">
                  <c:v>291</c:v>
                </c:pt>
                <c:pt idx="9">
                  <c:v>317</c:v>
                </c:pt>
                <c:pt idx="10">
                  <c:v>329</c:v>
                </c:pt>
                <c:pt idx="11">
                  <c:v>1285</c:v>
                </c:pt>
                <c:pt idx="12">
                  <c:v>1303</c:v>
                </c:pt>
                <c:pt idx="13">
                  <c:v>2500</c:v>
                </c:pt>
                <c:pt idx="14">
                  <c:v>2508</c:v>
                </c:pt>
              </c:numCache>
            </c:numRef>
          </c:xVal>
          <c:yVal>
            <c:numRef>
              <c:f>'A (old)'!$I$21:$I$1007</c:f>
              <c:numCache>
                <c:formatCode>0.0000</c:formatCode>
                <c:ptCount val="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0F-4D73-BE63-CD475700F19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</c:numCache>
              </c:numRef>
            </c:plus>
            <c:min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(old)'!$F$21:$F$1007</c:f>
              <c:numCache>
                <c:formatCode>General</c:formatCode>
                <c:ptCount val="987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38</c:v>
                </c:pt>
                <c:pt idx="5">
                  <c:v>58</c:v>
                </c:pt>
                <c:pt idx="6">
                  <c:v>92</c:v>
                </c:pt>
                <c:pt idx="7">
                  <c:v>231</c:v>
                </c:pt>
                <c:pt idx="8">
                  <c:v>291</c:v>
                </c:pt>
                <c:pt idx="9">
                  <c:v>317</c:v>
                </c:pt>
                <c:pt idx="10">
                  <c:v>329</c:v>
                </c:pt>
                <c:pt idx="11">
                  <c:v>1285</c:v>
                </c:pt>
                <c:pt idx="12">
                  <c:v>1303</c:v>
                </c:pt>
                <c:pt idx="13">
                  <c:v>2500</c:v>
                </c:pt>
                <c:pt idx="14">
                  <c:v>2508</c:v>
                </c:pt>
              </c:numCache>
            </c:numRef>
          </c:xVal>
          <c:yVal>
            <c:numRef>
              <c:f>'A (old)'!$J$21:$J$1007</c:f>
              <c:numCache>
                <c:formatCode>0.0000</c:formatCode>
                <c:ptCount val="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0F-4D73-BE63-CD475700F19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(old)'!$F$21:$F$1007</c:f>
              <c:numCache>
                <c:formatCode>General</c:formatCode>
                <c:ptCount val="987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38</c:v>
                </c:pt>
                <c:pt idx="5">
                  <c:v>58</c:v>
                </c:pt>
                <c:pt idx="6">
                  <c:v>92</c:v>
                </c:pt>
                <c:pt idx="7">
                  <c:v>231</c:v>
                </c:pt>
                <c:pt idx="8">
                  <c:v>291</c:v>
                </c:pt>
                <c:pt idx="9">
                  <c:v>317</c:v>
                </c:pt>
                <c:pt idx="10">
                  <c:v>329</c:v>
                </c:pt>
                <c:pt idx="11">
                  <c:v>1285</c:v>
                </c:pt>
                <c:pt idx="12">
                  <c:v>1303</c:v>
                </c:pt>
                <c:pt idx="13">
                  <c:v>2500</c:v>
                </c:pt>
                <c:pt idx="14">
                  <c:v>2508</c:v>
                </c:pt>
              </c:numCache>
            </c:numRef>
          </c:xVal>
          <c:yVal>
            <c:numRef>
              <c:f>'A (old)'!$K$21:$K$1007</c:f>
              <c:numCache>
                <c:formatCode>0.0000</c:formatCode>
                <c:ptCount val="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0F-4D73-BE63-CD475700F19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(old)'!$F$21:$F$1007</c:f>
              <c:numCache>
                <c:formatCode>General</c:formatCode>
                <c:ptCount val="987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20</c:v>
                </c:pt>
                <c:pt idx="4">
                  <c:v>38</c:v>
                </c:pt>
                <c:pt idx="5">
                  <c:v>58</c:v>
                </c:pt>
                <c:pt idx="6">
                  <c:v>92</c:v>
                </c:pt>
                <c:pt idx="7">
                  <c:v>231</c:v>
                </c:pt>
                <c:pt idx="8">
                  <c:v>291</c:v>
                </c:pt>
                <c:pt idx="9">
                  <c:v>317</c:v>
                </c:pt>
                <c:pt idx="10">
                  <c:v>329</c:v>
                </c:pt>
                <c:pt idx="11">
                  <c:v>1285</c:v>
                </c:pt>
                <c:pt idx="12">
                  <c:v>1303</c:v>
                </c:pt>
                <c:pt idx="13">
                  <c:v>2500</c:v>
                </c:pt>
                <c:pt idx="14">
                  <c:v>2508</c:v>
                </c:pt>
              </c:numCache>
            </c:numRef>
          </c:xVal>
          <c:yVal>
            <c:numRef>
              <c:f>'A (old)'!$L$21:$L$1007</c:f>
              <c:numCache>
                <c:formatCode>0.0000</c:formatCode>
                <c:ptCount val="987"/>
                <c:pt idx="0">
                  <c:v>-7.1246400588666336E-3</c:v>
                </c:pt>
                <c:pt idx="1">
                  <c:v>-7.1246400588666336E-3</c:v>
                </c:pt>
                <c:pt idx="2">
                  <c:v>-7.1246454262718561E-3</c:v>
                </c:pt>
                <c:pt idx="3">
                  <c:v>-7.1246467681231624E-3</c:v>
                </c:pt>
                <c:pt idx="4">
                  <c:v>-7.1246528064540376E-3</c:v>
                </c:pt>
                <c:pt idx="5">
                  <c:v>-7.1246595157105665E-3</c:v>
                </c:pt>
                <c:pt idx="6">
                  <c:v>-7.1246709214466651E-3</c:v>
                </c:pt>
                <c:pt idx="7">
                  <c:v>-7.1247175507795392E-3</c:v>
                </c:pt>
                <c:pt idx="8">
                  <c:v>-7.1247376785491248E-3</c:v>
                </c:pt>
                <c:pt idx="9">
                  <c:v>-7.1247464005826117E-3</c:v>
                </c:pt>
                <c:pt idx="10">
                  <c:v>-7.1247504261365288E-3</c:v>
                </c:pt>
                <c:pt idx="11">
                  <c:v>-7.1250711285985964E-3</c:v>
                </c:pt>
                <c:pt idx="12">
                  <c:v>-7.1250771669294716E-3</c:v>
                </c:pt>
                <c:pt idx="13">
                  <c:v>-7.1254787159327083E-3</c:v>
                </c:pt>
                <c:pt idx="14">
                  <c:v>-7.12548139963532E-3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0F-4D73-BE63-CD475700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181664"/>
        <c:axId val="1"/>
      </c:scatterChart>
      <c:valAx>
        <c:axId val="88918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0037906925442"/>
              <c:y val="0.8823541763161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763293310463125E-3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81664"/>
        <c:crosses val="autoZero"/>
        <c:crossBetween val="midCat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18560887436237"/>
          <c:y val="0.93235417631619577"/>
          <c:w val="0.4545458147062662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18FC0DB-ADDA-8D00-5A17-088EB056B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15</xdr:col>
      <xdr:colOff>276225</xdr:colOff>
      <xdr:row>18</xdr:row>
      <xdr:rowOff>152400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41CCC1C-D07E-EAB6-2A7E-61CFF505B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P645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21.7109375" customWidth="1"/>
    <col min="2" max="2" width="4.140625" customWidth="1"/>
    <col min="3" max="3" width="11.85546875" style="10" customWidth="1"/>
    <col min="4" max="4" width="9.42578125" style="10" customWidth="1"/>
    <col min="5" max="5" width="9.140625" style="11" customWidth="1"/>
    <col min="6" max="6" width="16.42578125" customWidth="1"/>
    <col min="7" max="7" width="8.140625" style="10" customWidth="1"/>
    <col min="8" max="8" width="8.5703125" style="10" customWidth="1"/>
    <col min="9" max="9" width="11.28515625" style="10" bestFit="1" customWidth="1"/>
    <col min="10" max="11" width="8.5703125" style="10" customWidth="1"/>
    <col min="12" max="12" width="8" style="10" customWidth="1"/>
    <col min="13" max="13" width="7.7109375" style="10" customWidth="1"/>
    <col min="14" max="14" width="10.42578125" style="13" customWidth="1"/>
    <col min="15" max="15" width="16.140625" style="12" customWidth="1"/>
    <col min="16" max="16" width="18.7109375" style="12" bestFit="1" customWidth="1"/>
  </cols>
  <sheetData>
    <row r="1" spans="1:16" ht="20.25">
      <c r="A1" s="52" t="s">
        <v>103</v>
      </c>
      <c r="B1" s="1"/>
      <c r="C1" s="20" t="s">
        <v>35</v>
      </c>
      <c r="D1"/>
      <c r="E1"/>
      <c r="G1"/>
      <c r="H1"/>
      <c r="I1"/>
      <c r="J1"/>
      <c r="K1"/>
      <c r="L1"/>
      <c r="M1"/>
      <c r="N1"/>
      <c r="O1"/>
      <c r="P1"/>
    </row>
    <row r="2" spans="1:16">
      <c r="A2" t="s">
        <v>26</v>
      </c>
      <c r="B2" t="s">
        <v>29</v>
      </c>
      <c r="C2"/>
      <c r="D2"/>
      <c r="E2"/>
      <c r="G2"/>
      <c r="H2"/>
      <c r="I2"/>
      <c r="J2"/>
      <c r="K2"/>
      <c r="L2"/>
      <c r="M2"/>
      <c r="N2"/>
      <c r="O2"/>
      <c r="P2"/>
    </row>
    <row r="3" spans="1:16" ht="13.5" thickBot="1">
      <c r="C3" s="15" t="s">
        <v>32</v>
      </c>
      <c r="D3"/>
      <c r="E3"/>
      <c r="G3"/>
      <c r="H3"/>
      <c r="I3"/>
      <c r="J3"/>
      <c r="K3"/>
      <c r="L3"/>
      <c r="M3"/>
      <c r="N3"/>
      <c r="O3"/>
      <c r="P3"/>
    </row>
    <row r="4" spans="1:16" ht="14.25" thickTop="1" thickBot="1">
      <c r="A4" s="7" t="s">
        <v>1</v>
      </c>
      <c r="B4" s="7"/>
      <c r="C4" s="2">
        <v>29078.487000000001</v>
      </c>
      <c r="D4" s="3">
        <v>1.4979979999999999</v>
      </c>
      <c r="E4"/>
      <c r="G4"/>
      <c r="H4"/>
      <c r="I4"/>
      <c r="J4"/>
      <c r="K4"/>
      <c r="L4"/>
      <c r="M4"/>
      <c r="N4"/>
      <c r="O4"/>
      <c r="P4"/>
    </row>
    <row r="5" spans="1:16" ht="13.5" thickTop="1">
      <c r="A5" s="35" t="s">
        <v>92</v>
      </c>
      <c r="B5" s="22"/>
      <c r="C5" s="36">
        <v>-9.5</v>
      </c>
      <c r="D5" s="22" t="s">
        <v>93</v>
      </c>
      <c r="E5"/>
      <c r="G5"/>
      <c r="H5"/>
      <c r="I5"/>
      <c r="J5"/>
      <c r="K5"/>
      <c r="L5"/>
      <c r="M5"/>
      <c r="N5"/>
      <c r="O5"/>
      <c r="P5"/>
    </row>
    <row r="6" spans="1:16">
      <c r="A6" s="7" t="s">
        <v>2</v>
      </c>
      <c r="B6" s="7"/>
      <c r="C6"/>
      <c r="D6"/>
      <c r="E6"/>
      <c r="G6"/>
      <c r="H6"/>
      <c r="I6"/>
      <c r="J6"/>
      <c r="K6"/>
      <c r="L6"/>
      <c r="M6"/>
      <c r="N6"/>
      <c r="O6"/>
      <c r="P6"/>
    </row>
    <row r="7" spans="1:16">
      <c r="A7" t="s">
        <v>3</v>
      </c>
      <c r="C7" s="10">
        <v>57254.733999999997</v>
      </c>
      <c r="D7"/>
      <c r="E7"/>
      <c r="G7"/>
      <c r="H7"/>
      <c r="I7"/>
      <c r="J7"/>
      <c r="K7"/>
      <c r="L7"/>
      <c r="M7"/>
      <c r="N7"/>
      <c r="O7"/>
      <c r="P7"/>
    </row>
    <row r="8" spans="1:16">
      <c r="A8" t="s">
        <v>4</v>
      </c>
      <c r="C8" s="14">
        <v>2.9960149999999999</v>
      </c>
      <c r="D8"/>
      <c r="E8"/>
      <c r="G8"/>
      <c r="H8"/>
      <c r="I8"/>
      <c r="J8"/>
      <c r="K8"/>
      <c r="L8"/>
      <c r="M8"/>
      <c r="N8"/>
      <c r="O8"/>
      <c r="P8"/>
    </row>
    <row r="9" spans="1:16">
      <c r="A9" s="37" t="s">
        <v>94</v>
      </c>
      <c r="B9" s="38">
        <v>21</v>
      </c>
      <c r="C9" s="39" t="str">
        <f>"F"&amp;B9</f>
        <v>F21</v>
      </c>
      <c r="D9" s="40" t="str">
        <f>"G"&amp;B9</f>
        <v>G21</v>
      </c>
      <c r="E9"/>
      <c r="G9"/>
      <c r="H9"/>
      <c r="I9"/>
      <c r="J9"/>
      <c r="K9"/>
      <c r="L9"/>
      <c r="M9"/>
      <c r="N9"/>
      <c r="O9"/>
      <c r="P9"/>
    </row>
    <row r="10" spans="1:16" ht="13.5" thickBot="1">
      <c r="C10" s="6" t="s">
        <v>21</v>
      </c>
      <c r="D10" s="6" t="s">
        <v>22</v>
      </c>
      <c r="E10"/>
      <c r="G10"/>
      <c r="H10"/>
      <c r="I10"/>
      <c r="J10"/>
      <c r="K10"/>
      <c r="L10"/>
      <c r="M10"/>
      <c r="N10"/>
      <c r="O10"/>
      <c r="P10"/>
    </row>
    <row r="11" spans="1:16">
      <c r="A11" t="s">
        <v>17</v>
      </c>
      <c r="C11" s="41">
        <f ca="1">INTERCEPT(INDIRECT($D$9):G977,INDIRECT($C$9):F977)</f>
        <v>-3.3804551626822332E-3</v>
      </c>
      <c r="D11" s="5"/>
      <c r="E11"/>
      <c r="G11"/>
      <c r="H11"/>
      <c r="I11"/>
      <c r="J11"/>
      <c r="K11"/>
      <c r="L11"/>
      <c r="M11"/>
      <c r="N11"/>
      <c r="O11"/>
      <c r="P11"/>
    </row>
    <row r="12" spans="1:16">
      <c r="A12" t="s">
        <v>18</v>
      </c>
      <c r="C12" s="41">
        <f ca="1">SLOPE(INDIRECT($D$9):G977,INDIRECT($C$9):F977)</f>
        <v>2.4566338454037642E-5</v>
      </c>
      <c r="D12" s="5"/>
      <c r="E12"/>
      <c r="G12"/>
      <c r="H12"/>
      <c r="I12"/>
      <c r="J12"/>
      <c r="K12"/>
      <c r="L12"/>
      <c r="M12"/>
      <c r="N12"/>
      <c r="O12"/>
      <c r="P12"/>
    </row>
    <row r="13" spans="1:16">
      <c r="A13" t="s">
        <v>20</v>
      </c>
      <c r="C13" s="5" t="s">
        <v>15</v>
      </c>
      <c r="D13" s="5"/>
      <c r="E13"/>
      <c r="G13"/>
      <c r="H13"/>
      <c r="I13"/>
      <c r="J13"/>
      <c r="K13"/>
      <c r="L13"/>
      <c r="M13"/>
      <c r="N13"/>
      <c r="O13"/>
      <c r="P13"/>
    </row>
    <row r="14" spans="1:16">
      <c r="A14" t="s">
        <v>25</v>
      </c>
      <c r="C14"/>
      <c r="D14"/>
      <c r="E14"/>
      <c r="G14"/>
      <c r="H14"/>
      <c r="I14"/>
      <c r="J14"/>
      <c r="K14"/>
      <c r="L14"/>
      <c r="M14"/>
      <c r="N14"/>
      <c r="O14"/>
      <c r="P14"/>
    </row>
    <row r="15" spans="1:16">
      <c r="A15" s="4" t="s">
        <v>19</v>
      </c>
      <c r="B15" s="4"/>
      <c r="C15" s="16">
        <f ca="1">(C7+C11)+(C8+C12)*INT(MAX(F21:F3532))</f>
        <v>57254.730619544833</v>
      </c>
      <c r="D15"/>
      <c r="E15" s="42" t="s">
        <v>95</v>
      </c>
      <c r="F15" s="36">
        <v>1</v>
      </c>
      <c r="G15"/>
      <c r="H15"/>
      <c r="I15"/>
      <c r="J15"/>
      <c r="K15"/>
      <c r="L15"/>
      <c r="M15"/>
      <c r="N15"/>
      <c r="O15"/>
      <c r="P15"/>
    </row>
    <row r="16" spans="1:16">
      <c r="A16" s="7" t="s">
        <v>5</v>
      </c>
      <c r="B16" s="7"/>
      <c r="C16" s="17">
        <f ca="1">+C8+C12</f>
        <v>2.996039566338454</v>
      </c>
      <c r="D16"/>
      <c r="E16" s="42" t="s">
        <v>96</v>
      </c>
      <c r="F16" s="43">
        <f ca="1">NOW()+15018.5+$C$5/24</f>
        <v>60340.720780324074</v>
      </c>
      <c r="G16"/>
      <c r="H16"/>
      <c r="I16"/>
      <c r="J16"/>
      <c r="K16"/>
      <c r="L16"/>
      <c r="M16"/>
      <c r="N16"/>
      <c r="O16"/>
      <c r="P16"/>
    </row>
    <row r="17" spans="1:16" ht="13.5" thickBot="1">
      <c r="A17" s="18" t="s">
        <v>33</v>
      </c>
      <c r="C17">
        <f>COUNT(C21:C2190)</f>
        <v>18</v>
      </c>
      <c r="D17"/>
      <c r="E17" s="42" t="s">
        <v>97</v>
      </c>
      <c r="F17" s="43">
        <f ca="1">ROUND(2*(F16-$C$7)/$C$8,0)/2+F15</f>
        <v>1031</v>
      </c>
      <c r="G17"/>
      <c r="H17"/>
      <c r="I17"/>
      <c r="J17"/>
      <c r="K17"/>
      <c r="L17"/>
      <c r="M17"/>
      <c r="N17"/>
      <c r="O17"/>
      <c r="P17"/>
    </row>
    <row r="18" spans="1:16" ht="14.25" thickTop="1" thickBot="1">
      <c r="A18" s="7" t="s">
        <v>6</v>
      </c>
      <c r="B18" s="7"/>
      <c r="C18" s="2">
        <f ca="1">+C15</f>
        <v>57254.730619544833</v>
      </c>
      <c r="D18" s="3">
        <f ca="1">+C16</f>
        <v>2.996039566338454</v>
      </c>
      <c r="E18" s="42" t="s">
        <v>98</v>
      </c>
      <c r="F18" s="40">
        <f ca="1">ROUND(2*(F16-$C$15)/$C$16,0)/2+F15</f>
        <v>1031</v>
      </c>
      <c r="G18"/>
      <c r="H18"/>
      <c r="I18"/>
      <c r="J18"/>
      <c r="K18"/>
      <c r="L18"/>
      <c r="M18"/>
      <c r="N18"/>
      <c r="O18"/>
      <c r="P18"/>
    </row>
    <row r="19" spans="1:16" ht="13.5" thickTop="1">
      <c r="C19"/>
      <c r="D19"/>
      <c r="E19" s="42" t="s">
        <v>99</v>
      </c>
      <c r="F19" s="44">
        <f ca="1">+$C$15+$C$16*F18-15018.5-$C$5/24</f>
        <v>45325.543245773115</v>
      </c>
      <c r="G19"/>
      <c r="H19"/>
      <c r="I19"/>
      <c r="J19"/>
      <c r="K19"/>
      <c r="L19"/>
      <c r="M19"/>
      <c r="N19"/>
      <c r="O19"/>
      <c r="P19"/>
    </row>
    <row r="20" spans="1:16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43</v>
      </c>
      <c r="I20" s="9" t="s">
        <v>46</v>
      </c>
      <c r="J20" s="9" t="s">
        <v>40</v>
      </c>
      <c r="K20" s="9" t="s">
        <v>38</v>
      </c>
      <c r="L20" s="9" t="s">
        <v>24</v>
      </c>
      <c r="M20" s="8" t="s">
        <v>23</v>
      </c>
      <c r="N20" s="6" t="s">
        <v>16</v>
      </c>
      <c r="O20" t="s">
        <v>27</v>
      </c>
      <c r="P20" t="s">
        <v>28</v>
      </c>
    </row>
    <row r="21" spans="1:16">
      <c r="A21" t="s">
        <v>13</v>
      </c>
      <c r="C21" s="19">
        <f>+C4</f>
        <v>29078.487000000001</v>
      </c>
      <c r="D21" s="19" t="s">
        <v>15</v>
      </c>
      <c r="E21" s="11">
        <f>+(C21-C$7)/C$8</f>
        <v>-9404.574743450883</v>
      </c>
      <c r="F21">
        <f t="shared" ref="F21:F38" si="0">ROUND(2*E21,0)/2</f>
        <v>-9404.5</v>
      </c>
      <c r="G21" s="10">
        <f>+C21-(C$7+F21*C$8)</f>
        <v>-0.22393249999731779</v>
      </c>
      <c r="H21" s="10">
        <f>+G21</f>
        <v>-0.22393249999731779</v>
      </c>
      <c r="L21" s="10">
        <f ca="1">+C$11+C$12*F21</f>
        <v>-0.23441458515367924</v>
      </c>
      <c r="N21" s="13">
        <f>+C21-15018.5</f>
        <v>14059.987000000001</v>
      </c>
      <c r="O21" s="12">
        <f t="shared" ref="O21:O38" si="1">N21</f>
        <v>14059.987000000001</v>
      </c>
      <c r="P21" s="12">
        <f>N21-7/24</f>
        <v>14059.695333333335</v>
      </c>
    </row>
    <row r="22" spans="1:16">
      <c r="A22" t="s">
        <v>30</v>
      </c>
      <c r="C22" s="19">
        <v>29078.476999999999</v>
      </c>
      <c r="D22" s="19"/>
      <c r="E22" s="11">
        <f t="shared" ref="E22:E28" si="2">+(C22-C$7)/C$8</f>
        <v>-9404.5780812178837</v>
      </c>
      <c r="F22">
        <f t="shared" si="0"/>
        <v>-9404.5</v>
      </c>
      <c r="G22" s="10">
        <f t="shared" ref="G22:G28" si="3">+C22-(C$7+F22*C$8)</f>
        <v>-0.23393249999935506</v>
      </c>
      <c r="H22" s="10">
        <f t="shared" ref="H22:H28" si="4">G22</f>
        <v>-0.23393249999935506</v>
      </c>
      <c r="L22" s="10">
        <f t="shared" ref="L22:L28" ca="1" si="5">+C$11+C$12*F22</f>
        <v>-0.23441458515367924</v>
      </c>
      <c r="N22" s="13">
        <f t="shared" ref="N22:N28" si="6">+C22-15018.5</f>
        <v>14059.976999999999</v>
      </c>
      <c r="O22" s="12">
        <f t="shared" si="1"/>
        <v>14059.976999999999</v>
      </c>
      <c r="P22" s="12">
        <f t="shared" ref="P22:P28" si="7">N22-7/24</f>
        <v>14059.685333333333</v>
      </c>
    </row>
    <row r="23" spans="1:16">
      <c r="A23" t="s">
        <v>30</v>
      </c>
      <c r="C23" s="19">
        <v>29102.442999999999</v>
      </c>
      <c r="D23" s="19"/>
      <c r="E23" s="11">
        <f t="shared" si="2"/>
        <v>-9396.5787888244886</v>
      </c>
      <c r="F23">
        <f t="shared" si="0"/>
        <v>-9396.5</v>
      </c>
      <c r="G23" s="10">
        <f t="shared" si="3"/>
        <v>-0.23605250000036904</v>
      </c>
      <c r="H23" s="10">
        <f t="shared" si="4"/>
        <v>-0.23605250000036904</v>
      </c>
      <c r="L23" s="10">
        <f t="shared" ca="1" si="5"/>
        <v>-0.23421805444604693</v>
      </c>
      <c r="N23" s="13">
        <f t="shared" si="6"/>
        <v>14083.942999999999</v>
      </c>
      <c r="O23" s="12">
        <f t="shared" si="1"/>
        <v>14083.942999999999</v>
      </c>
      <c r="P23" s="12">
        <f t="shared" si="7"/>
        <v>14083.651333333333</v>
      </c>
    </row>
    <row r="24" spans="1:16">
      <c r="A24" t="s">
        <v>30</v>
      </c>
      <c r="C24" s="19">
        <v>29108.432000000001</v>
      </c>
      <c r="D24" s="19"/>
      <c r="E24" s="11">
        <f t="shared" si="2"/>
        <v>-9394.5798001678886</v>
      </c>
      <c r="F24">
        <f t="shared" si="0"/>
        <v>-9394.5</v>
      </c>
      <c r="G24" s="10">
        <f t="shared" si="3"/>
        <v>-0.23908249999658437</v>
      </c>
      <c r="H24" s="10">
        <f t="shared" si="4"/>
        <v>-0.23908249999658437</v>
      </c>
      <c r="L24" s="10">
        <f t="shared" ca="1" si="5"/>
        <v>-0.23416892176913887</v>
      </c>
      <c r="N24" s="13">
        <f t="shared" si="6"/>
        <v>14089.932000000001</v>
      </c>
      <c r="O24" s="12">
        <f t="shared" si="1"/>
        <v>14089.932000000001</v>
      </c>
      <c r="P24" s="12">
        <f t="shared" si="7"/>
        <v>14089.640333333335</v>
      </c>
    </row>
    <row r="25" spans="1:16">
      <c r="A25" t="s">
        <v>30</v>
      </c>
      <c r="C25" s="19">
        <v>29135.411</v>
      </c>
      <c r="D25" s="19"/>
      <c r="E25" s="11">
        <f t="shared" si="2"/>
        <v>-9385.5748385772422</v>
      </c>
      <c r="F25">
        <f t="shared" si="0"/>
        <v>-9385.5</v>
      </c>
      <c r="G25" s="10">
        <f t="shared" si="3"/>
        <v>-0.22421749999921303</v>
      </c>
      <c r="H25" s="10">
        <f t="shared" si="4"/>
        <v>-0.22421749999921303</v>
      </c>
      <c r="L25" s="10">
        <f t="shared" ca="1" si="5"/>
        <v>-0.23394782472305253</v>
      </c>
      <c r="N25" s="13">
        <f t="shared" si="6"/>
        <v>14116.911</v>
      </c>
      <c r="O25" s="12">
        <f t="shared" si="1"/>
        <v>14116.911</v>
      </c>
      <c r="P25" s="12">
        <f t="shared" si="7"/>
        <v>14116.619333333334</v>
      </c>
    </row>
    <row r="26" spans="1:16">
      <c r="A26" t="s">
        <v>30</v>
      </c>
      <c r="C26" s="19">
        <v>29165.331999999999</v>
      </c>
      <c r="D26" s="19"/>
      <c r="E26" s="11">
        <f t="shared" si="2"/>
        <v>-9375.58790593505</v>
      </c>
      <c r="F26">
        <f t="shared" si="0"/>
        <v>-9375.5</v>
      </c>
      <c r="G26" s="10">
        <f t="shared" si="3"/>
        <v>-0.26336749999973108</v>
      </c>
      <c r="H26" s="10">
        <f t="shared" si="4"/>
        <v>-0.26336749999973108</v>
      </c>
      <c r="L26" s="10">
        <f t="shared" ca="1" si="5"/>
        <v>-0.23370216133851215</v>
      </c>
      <c r="N26" s="13">
        <f t="shared" si="6"/>
        <v>14146.831999999999</v>
      </c>
      <c r="O26" s="12">
        <f t="shared" si="1"/>
        <v>14146.831999999999</v>
      </c>
      <c r="P26" s="12">
        <f t="shared" si="7"/>
        <v>14146.540333333332</v>
      </c>
    </row>
    <row r="27" spans="1:16">
      <c r="A27" t="s">
        <v>30</v>
      </c>
      <c r="C27" s="19">
        <v>29216.267</v>
      </c>
      <c r="D27" s="19"/>
      <c r="E27" s="11">
        <f t="shared" si="2"/>
        <v>-9358.5869897180073</v>
      </c>
      <c r="F27">
        <f t="shared" si="0"/>
        <v>-9358.5</v>
      </c>
      <c r="G27" s="10">
        <f t="shared" si="3"/>
        <v>-0.26062249999813503</v>
      </c>
      <c r="H27" s="10">
        <f t="shared" si="4"/>
        <v>-0.26062249999813503</v>
      </c>
      <c r="L27" s="10">
        <f t="shared" ca="1" si="5"/>
        <v>-0.23328453358479351</v>
      </c>
      <c r="N27" s="13">
        <f t="shared" si="6"/>
        <v>14197.767</v>
      </c>
      <c r="O27" s="12">
        <f t="shared" si="1"/>
        <v>14197.767</v>
      </c>
      <c r="P27" s="12">
        <f t="shared" si="7"/>
        <v>14197.475333333334</v>
      </c>
    </row>
    <row r="28" spans="1:16">
      <c r="A28" t="s">
        <v>30</v>
      </c>
      <c r="C28" s="19">
        <v>29424.51</v>
      </c>
      <c r="D28" s="19"/>
      <c r="E28" s="11">
        <f t="shared" si="2"/>
        <v>-9289.0803283695168</v>
      </c>
      <c r="F28">
        <f t="shared" si="0"/>
        <v>-9289</v>
      </c>
      <c r="G28" s="10">
        <f t="shared" si="3"/>
        <v>-0.2406650000011723</v>
      </c>
      <c r="H28" s="10">
        <f t="shared" si="4"/>
        <v>-0.2406650000011723</v>
      </c>
      <c r="L28" s="10">
        <f t="shared" ca="1" si="5"/>
        <v>-0.23157717306223788</v>
      </c>
      <c r="N28" s="13">
        <f t="shared" si="6"/>
        <v>14406.009999999998</v>
      </c>
      <c r="O28" s="12">
        <f t="shared" si="1"/>
        <v>14406.009999999998</v>
      </c>
      <c r="P28" s="12">
        <f t="shared" si="7"/>
        <v>14405.718333333332</v>
      </c>
    </row>
    <row r="29" spans="1:16">
      <c r="A29" t="s">
        <v>30</v>
      </c>
      <c r="C29" s="19">
        <v>29514.425999999999</v>
      </c>
      <c r="D29" s="19"/>
      <c r="E29" s="11">
        <f t="shared" ref="E29:E38" si="8">+(C29-C$7)/C$8</f>
        <v>-9259.068462607831</v>
      </c>
      <c r="F29">
        <f t="shared" si="0"/>
        <v>-9259</v>
      </c>
      <c r="G29" s="10">
        <f t="shared" ref="G29:G38" si="9">+C29-(C$7+F29*C$8)</f>
        <v>-0.2051149999970221</v>
      </c>
      <c r="H29" s="10">
        <f t="shared" ref="H29:H35" si="10">G29</f>
        <v>-0.2051149999970221</v>
      </c>
      <c r="L29" s="10">
        <f t="shared" ref="L29:L38" ca="1" si="11">+C$11+C$12*F29</f>
        <v>-0.23084018290861677</v>
      </c>
      <c r="N29" s="13">
        <f t="shared" ref="N29:N38" si="12">+C29-15018.5</f>
        <v>14495.925999999999</v>
      </c>
      <c r="O29" s="12">
        <f t="shared" si="1"/>
        <v>14495.925999999999</v>
      </c>
      <c r="P29" s="12">
        <f t="shared" ref="P29:P38" si="13">N29-7/24</f>
        <v>14495.634333333333</v>
      </c>
    </row>
    <row r="30" spans="1:16">
      <c r="A30" t="s">
        <v>30</v>
      </c>
      <c r="C30" s="19">
        <v>29553.374</v>
      </c>
      <c r="D30" s="19"/>
      <c r="E30" s="11">
        <f t="shared" si="8"/>
        <v>-9246.0685276942859</v>
      </c>
      <c r="F30">
        <f t="shared" si="0"/>
        <v>-9246</v>
      </c>
      <c r="G30" s="10">
        <f t="shared" si="9"/>
        <v>-0.20530999999755295</v>
      </c>
      <c r="H30" s="10">
        <f t="shared" si="10"/>
        <v>-0.20530999999755295</v>
      </c>
      <c r="L30" s="10">
        <f t="shared" ca="1" si="11"/>
        <v>-0.23052082050871428</v>
      </c>
      <c r="N30" s="13">
        <f t="shared" si="12"/>
        <v>14534.874</v>
      </c>
      <c r="O30" s="12">
        <f t="shared" si="1"/>
        <v>14534.874</v>
      </c>
      <c r="P30" s="12">
        <f t="shared" si="13"/>
        <v>14534.582333333334</v>
      </c>
    </row>
    <row r="31" spans="1:16">
      <c r="A31" t="s">
        <v>30</v>
      </c>
      <c r="C31" s="19">
        <v>29571.359</v>
      </c>
      <c r="D31" s="19"/>
      <c r="E31" s="11">
        <f t="shared" si="8"/>
        <v>-9240.0655537438888</v>
      </c>
      <c r="F31">
        <f t="shared" si="0"/>
        <v>-9240</v>
      </c>
      <c r="G31" s="10">
        <f t="shared" si="9"/>
        <v>-0.1963999999970838</v>
      </c>
      <c r="H31" s="10">
        <f t="shared" si="10"/>
        <v>-0.1963999999970838</v>
      </c>
      <c r="L31" s="10">
        <f t="shared" ca="1" si="11"/>
        <v>-0.23037342247799003</v>
      </c>
      <c r="N31" s="13">
        <f t="shared" si="12"/>
        <v>14552.859</v>
      </c>
      <c r="O31" s="12">
        <f t="shared" si="1"/>
        <v>14552.859</v>
      </c>
      <c r="P31" s="12">
        <f t="shared" si="13"/>
        <v>14552.567333333334</v>
      </c>
    </row>
    <row r="32" spans="1:16">
      <c r="A32" t="s">
        <v>30</v>
      </c>
      <c r="C32" s="19">
        <v>31003.407999999999</v>
      </c>
      <c r="D32" s="19"/>
      <c r="E32" s="11">
        <f t="shared" si="8"/>
        <v>-8762.0809642141303</v>
      </c>
      <c r="F32">
        <f t="shared" si="0"/>
        <v>-8762</v>
      </c>
      <c r="G32" s="10">
        <f t="shared" si="9"/>
        <v>-0.24256999999852269</v>
      </c>
      <c r="H32" s="10">
        <f t="shared" si="10"/>
        <v>-0.24256999999852269</v>
      </c>
      <c r="L32" s="10">
        <f t="shared" ca="1" si="11"/>
        <v>-0.21863071269696005</v>
      </c>
      <c r="N32" s="13">
        <f t="shared" si="12"/>
        <v>15984.907999999999</v>
      </c>
      <c r="O32" s="12">
        <f t="shared" si="1"/>
        <v>15984.907999999999</v>
      </c>
      <c r="P32" s="12">
        <f t="shared" si="13"/>
        <v>15984.616333333333</v>
      </c>
    </row>
    <row r="33" spans="1:16">
      <c r="A33" t="s">
        <v>30</v>
      </c>
      <c r="C33" s="19">
        <v>31030.418000000001</v>
      </c>
      <c r="D33" s="19"/>
      <c r="E33" s="11">
        <f t="shared" si="8"/>
        <v>-8753.0656555457826</v>
      </c>
      <c r="F33">
        <f t="shared" si="0"/>
        <v>-8753</v>
      </c>
      <c r="G33" s="10">
        <f t="shared" si="9"/>
        <v>-0.19670499999483582</v>
      </c>
      <c r="H33" s="10">
        <f t="shared" si="10"/>
        <v>-0.19670499999483582</v>
      </c>
      <c r="L33" s="10">
        <f t="shared" ca="1" si="11"/>
        <v>-0.21840961565087372</v>
      </c>
      <c r="N33" s="13">
        <f t="shared" si="12"/>
        <v>16011.918000000001</v>
      </c>
      <c r="O33" s="12">
        <f t="shared" si="1"/>
        <v>16011.918000000001</v>
      </c>
      <c r="P33" s="12">
        <f t="shared" si="13"/>
        <v>16011.626333333335</v>
      </c>
    </row>
    <row r="34" spans="1:16">
      <c r="A34" t="s">
        <v>31</v>
      </c>
      <c r="C34" s="19">
        <v>32823.510999999999</v>
      </c>
      <c r="D34" s="19"/>
      <c r="E34" s="11">
        <f t="shared" si="8"/>
        <v>-8154.5729911232083</v>
      </c>
      <c r="F34">
        <f t="shared" si="0"/>
        <v>-8154.5</v>
      </c>
      <c r="G34" s="10">
        <f t="shared" si="9"/>
        <v>-0.21868249999533873</v>
      </c>
      <c r="H34" s="10">
        <f t="shared" si="10"/>
        <v>-0.21868249999533873</v>
      </c>
      <c r="L34" s="10">
        <f t="shared" ca="1" si="11"/>
        <v>-0.2037066620861322</v>
      </c>
      <c r="N34" s="13">
        <f t="shared" si="12"/>
        <v>17805.010999999999</v>
      </c>
      <c r="O34" s="12">
        <f t="shared" si="1"/>
        <v>17805.010999999999</v>
      </c>
      <c r="P34" s="12">
        <f t="shared" si="13"/>
        <v>17804.719333333331</v>
      </c>
    </row>
    <row r="35" spans="1:16">
      <c r="A35" t="s">
        <v>31</v>
      </c>
      <c r="C35" s="19">
        <v>32835.491000000002</v>
      </c>
      <c r="D35" s="19"/>
      <c r="E35" s="11">
        <f t="shared" si="8"/>
        <v>-8150.5743462566097</v>
      </c>
      <c r="F35">
        <f t="shared" si="0"/>
        <v>-8150.5</v>
      </c>
      <c r="G35" s="10">
        <f t="shared" si="9"/>
        <v>-0.22274249999463791</v>
      </c>
      <c r="H35" s="10">
        <f t="shared" si="10"/>
        <v>-0.22274249999463791</v>
      </c>
      <c r="L35" s="10">
        <f t="shared" ca="1" si="11"/>
        <v>-0.20360839673231604</v>
      </c>
      <c r="N35" s="13">
        <f t="shared" si="12"/>
        <v>17816.991000000002</v>
      </c>
      <c r="O35" s="12">
        <f t="shared" si="1"/>
        <v>17816.991000000002</v>
      </c>
      <c r="P35" s="12">
        <f t="shared" si="13"/>
        <v>17816.699333333334</v>
      </c>
    </row>
    <row r="36" spans="1:16">
      <c r="A36" s="45" t="s">
        <v>101</v>
      </c>
      <c r="B36" s="46" t="s">
        <v>0</v>
      </c>
      <c r="C36" s="47">
        <v>57244.242599999998</v>
      </c>
      <c r="D36" s="48"/>
      <c r="E36" s="11">
        <f t="shared" si="8"/>
        <v>-3.5017848709031751</v>
      </c>
      <c r="F36">
        <f t="shared" si="0"/>
        <v>-3.5</v>
      </c>
      <c r="G36" s="10">
        <f t="shared" si="9"/>
        <v>-5.3475000022444874E-3</v>
      </c>
      <c r="K36" s="10">
        <f>G36</f>
        <v>-5.3475000022444874E-3</v>
      </c>
      <c r="L36" s="10">
        <f t="shared" ca="1" si="11"/>
        <v>-3.466437347271365E-3</v>
      </c>
      <c r="N36" s="13">
        <f t="shared" si="12"/>
        <v>42225.742599999998</v>
      </c>
      <c r="O36" s="12">
        <f t="shared" si="1"/>
        <v>42225.742599999998</v>
      </c>
      <c r="P36" s="12">
        <f t="shared" si="13"/>
        <v>42225.450933333334</v>
      </c>
    </row>
    <row r="37" spans="1:16">
      <c r="A37" s="49" t="s">
        <v>102</v>
      </c>
      <c r="B37" s="50" t="s">
        <v>0</v>
      </c>
      <c r="C37" s="51">
        <v>57254.7327</v>
      </c>
      <c r="D37" s="51">
        <v>5.0000000000000001E-4</v>
      </c>
      <c r="E37" s="11">
        <f t="shared" si="8"/>
        <v>-4.3390970881756872E-4</v>
      </c>
      <c r="F37">
        <f t="shared" si="0"/>
        <v>0</v>
      </c>
      <c r="G37" s="10">
        <f t="shared" si="9"/>
        <v>-1.2999999962630682E-3</v>
      </c>
      <c r="K37" s="10">
        <f>G37</f>
        <v>-1.2999999962630682E-3</v>
      </c>
      <c r="L37" s="10">
        <f t="shared" ca="1" si="11"/>
        <v>-3.3804551626822332E-3</v>
      </c>
      <c r="N37" s="13">
        <f t="shared" si="12"/>
        <v>42236.2327</v>
      </c>
      <c r="O37" s="12">
        <f t="shared" si="1"/>
        <v>42236.2327</v>
      </c>
      <c r="P37" s="12">
        <f t="shared" si="13"/>
        <v>42235.941033333336</v>
      </c>
    </row>
    <row r="38" spans="1:16">
      <c r="A38" t="s">
        <v>100</v>
      </c>
      <c r="C38" s="19">
        <v>57254.733999999997</v>
      </c>
      <c r="D38" s="19"/>
      <c r="E38" s="11">
        <f t="shared" si="8"/>
        <v>0</v>
      </c>
      <c r="F38">
        <f t="shared" si="0"/>
        <v>0</v>
      </c>
      <c r="G38" s="10">
        <f t="shared" si="9"/>
        <v>0</v>
      </c>
      <c r="H38" s="10">
        <f>G38</f>
        <v>0</v>
      </c>
      <c r="L38" s="10">
        <f t="shared" ca="1" si="11"/>
        <v>-3.3804551626822332E-3</v>
      </c>
      <c r="N38" s="13">
        <f t="shared" si="12"/>
        <v>42236.233999999997</v>
      </c>
      <c r="O38" s="12">
        <f t="shared" si="1"/>
        <v>42236.233999999997</v>
      </c>
      <c r="P38" s="12">
        <f t="shared" si="13"/>
        <v>42235.942333333332</v>
      </c>
    </row>
    <row r="39" spans="1:16">
      <c r="A39" s="12"/>
      <c r="C39" s="19"/>
      <c r="D39" s="19"/>
    </row>
    <row r="40" spans="1:16">
      <c r="C40" s="19"/>
      <c r="D40" s="19"/>
    </row>
    <row r="41" spans="1:16">
      <c r="C41" s="19"/>
      <c r="D41" s="19"/>
    </row>
    <row r="42" spans="1:16">
      <c r="C42" s="19"/>
      <c r="D42" s="19"/>
    </row>
    <row r="43" spans="1:16">
      <c r="C43" s="19"/>
      <c r="D43" s="19"/>
    </row>
    <row r="44" spans="1:16">
      <c r="C44" s="19"/>
      <c r="D44" s="19"/>
    </row>
    <row r="45" spans="1:16">
      <c r="C45" s="19"/>
      <c r="D45" s="19"/>
    </row>
    <row r="46" spans="1:16">
      <c r="C46" s="19"/>
      <c r="D46" s="19"/>
    </row>
    <row r="47" spans="1:16">
      <c r="C47" s="19"/>
      <c r="D47" s="19"/>
    </row>
    <row r="48" spans="1:16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</sheetData>
  <phoneticPr fontId="9" type="noConversion"/>
  <hyperlinks>
    <hyperlink ref="H100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6"/>
  <sheetViews>
    <sheetView workbookViewId="0"/>
  </sheetViews>
  <sheetFormatPr defaultColWidth="10.28515625" defaultRowHeight="12.75"/>
  <cols>
    <col min="1" max="1" width="21.7109375" customWidth="1"/>
    <col min="2" max="2" width="4.140625" customWidth="1"/>
    <col min="3" max="3" width="11.85546875" style="10" customWidth="1"/>
    <col min="4" max="4" width="9.42578125" style="10" customWidth="1"/>
    <col min="5" max="5" width="9.140625" style="11" customWidth="1"/>
    <col min="6" max="6" width="16.42578125" customWidth="1"/>
    <col min="7" max="7" width="8.140625" style="10" customWidth="1"/>
    <col min="8" max="8" width="8.5703125" style="10" customWidth="1"/>
    <col min="9" max="9" width="11.28515625" style="10" bestFit="1" customWidth="1"/>
    <col min="10" max="11" width="8.5703125" style="10" customWidth="1"/>
    <col min="12" max="12" width="8" style="10" customWidth="1"/>
    <col min="13" max="13" width="7.7109375" style="10" customWidth="1"/>
    <col min="14" max="14" width="10.42578125" style="13" customWidth="1"/>
    <col min="15" max="15" width="16.140625" style="12" customWidth="1"/>
    <col min="16" max="16" width="18.7109375" style="12" bestFit="1" customWidth="1"/>
  </cols>
  <sheetData>
    <row r="1" spans="1:16" ht="20.25">
      <c r="A1" s="1" t="s">
        <v>34</v>
      </c>
      <c r="B1" s="1"/>
      <c r="C1" s="20" t="s">
        <v>35</v>
      </c>
      <c r="D1"/>
      <c r="E1"/>
      <c r="G1"/>
      <c r="H1"/>
      <c r="I1"/>
      <c r="J1"/>
      <c r="K1"/>
      <c r="L1"/>
      <c r="M1"/>
      <c r="N1"/>
      <c r="O1"/>
      <c r="P1"/>
    </row>
    <row r="2" spans="1:16">
      <c r="A2" t="s">
        <v>26</v>
      </c>
      <c r="B2" t="s">
        <v>29</v>
      </c>
      <c r="C2"/>
      <c r="D2"/>
      <c r="E2"/>
      <c r="G2"/>
      <c r="H2"/>
      <c r="I2"/>
      <c r="J2"/>
      <c r="K2"/>
      <c r="L2"/>
      <c r="M2"/>
      <c r="N2"/>
      <c r="O2"/>
      <c r="P2"/>
    </row>
    <row r="3" spans="1:16" ht="13.5" thickBot="1">
      <c r="C3" s="15" t="s">
        <v>32</v>
      </c>
      <c r="D3"/>
      <c r="E3"/>
      <c r="G3"/>
      <c r="H3"/>
      <c r="I3"/>
      <c r="J3"/>
      <c r="K3"/>
      <c r="L3"/>
      <c r="M3"/>
      <c r="N3"/>
      <c r="O3"/>
      <c r="P3"/>
    </row>
    <row r="4" spans="1:16" ht="14.25" thickTop="1" thickBot="1">
      <c r="A4" s="7" t="s">
        <v>1</v>
      </c>
      <c r="B4" s="7"/>
      <c r="C4" s="2">
        <v>29078.487000000001</v>
      </c>
      <c r="D4" s="3">
        <v>1.4979979999999999</v>
      </c>
      <c r="E4"/>
      <c r="G4"/>
      <c r="H4"/>
      <c r="I4"/>
      <c r="J4"/>
      <c r="K4"/>
      <c r="L4"/>
      <c r="M4"/>
      <c r="N4"/>
      <c r="O4"/>
      <c r="P4"/>
    </row>
    <row r="5" spans="1:16" ht="13.5" thickTop="1">
      <c r="A5" s="35" t="s">
        <v>92</v>
      </c>
      <c r="B5" s="22"/>
      <c r="C5" s="36">
        <v>8</v>
      </c>
      <c r="D5" s="22" t="s">
        <v>93</v>
      </c>
      <c r="E5"/>
      <c r="G5"/>
      <c r="H5"/>
      <c r="I5"/>
      <c r="J5"/>
      <c r="K5"/>
      <c r="L5"/>
      <c r="M5"/>
      <c r="N5"/>
      <c r="O5"/>
      <c r="P5"/>
    </row>
    <row r="6" spans="1:16">
      <c r="A6" s="7" t="s">
        <v>2</v>
      </c>
      <c r="B6" s="7"/>
      <c r="C6"/>
      <c r="D6"/>
      <c r="E6"/>
      <c r="G6"/>
      <c r="H6"/>
      <c r="I6"/>
      <c r="J6"/>
      <c r="K6"/>
      <c r="L6"/>
      <c r="M6"/>
      <c r="N6"/>
      <c r="O6"/>
      <c r="P6"/>
    </row>
    <row r="7" spans="1:16">
      <c r="A7" t="s">
        <v>3</v>
      </c>
      <c r="C7" s="10">
        <v>29078.487000000001</v>
      </c>
      <c r="D7"/>
      <c r="E7"/>
      <c r="G7"/>
      <c r="H7"/>
      <c r="I7"/>
      <c r="J7"/>
      <c r="K7"/>
      <c r="L7"/>
      <c r="M7"/>
      <c r="N7"/>
      <c r="O7"/>
      <c r="P7"/>
    </row>
    <row r="8" spans="1:16">
      <c r="A8" t="s">
        <v>4</v>
      </c>
      <c r="C8" s="14">
        <v>1.4980137819999999</v>
      </c>
      <c r="D8"/>
      <c r="E8"/>
      <c r="G8"/>
      <c r="H8"/>
      <c r="I8"/>
      <c r="J8"/>
      <c r="K8"/>
      <c r="L8"/>
      <c r="M8"/>
      <c r="N8"/>
      <c r="O8"/>
      <c r="P8"/>
    </row>
    <row r="9" spans="1:16">
      <c r="A9" s="37" t="s">
        <v>94</v>
      </c>
      <c r="B9" s="38">
        <v>21</v>
      </c>
      <c r="C9" s="39" t="str">
        <f>"F"&amp;B9</f>
        <v>F21</v>
      </c>
      <c r="D9" s="40" t="str">
        <f>"G"&amp;B9</f>
        <v>G21</v>
      </c>
      <c r="E9"/>
      <c r="G9"/>
      <c r="H9"/>
      <c r="I9"/>
      <c r="J9"/>
      <c r="K9"/>
      <c r="L9"/>
      <c r="M9"/>
      <c r="N9"/>
      <c r="O9"/>
      <c r="P9"/>
    </row>
    <row r="10" spans="1:16" ht="13.5" thickBot="1">
      <c r="C10" s="6" t="s">
        <v>21</v>
      </c>
      <c r="D10" s="6" t="s">
        <v>22</v>
      </c>
      <c r="E10"/>
      <c r="G10"/>
      <c r="H10"/>
      <c r="I10"/>
      <c r="J10"/>
      <c r="K10"/>
      <c r="L10"/>
      <c r="M10"/>
      <c r="N10"/>
      <c r="O10"/>
      <c r="P10"/>
    </row>
    <row r="11" spans="1:16">
      <c r="A11" t="s">
        <v>17</v>
      </c>
      <c r="C11" s="41">
        <f ca="1">INTERCEPT(INDIRECT($D$9):G978,INDIRECT($C$9):F978)</f>
        <v>-7.1246400588666336E-3</v>
      </c>
      <c r="D11" s="5"/>
      <c r="E11"/>
      <c r="G11"/>
      <c r="H11"/>
      <c r="I11"/>
      <c r="J11"/>
      <c r="K11"/>
      <c r="L11"/>
      <c r="M11"/>
      <c r="N11"/>
      <c r="O11"/>
      <c r="P11"/>
    </row>
    <row r="12" spans="1:16">
      <c r="A12" t="s">
        <v>18</v>
      </c>
      <c r="C12" s="41">
        <f ca="1">SLOPE(INDIRECT($D$9):G978,INDIRECT($C$9):F978)</f>
        <v>-3.3546282642989177E-10</v>
      </c>
      <c r="D12" s="5"/>
      <c r="E12"/>
      <c r="G12"/>
      <c r="H12"/>
      <c r="I12"/>
      <c r="J12"/>
      <c r="K12"/>
      <c r="L12"/>
      <c r="M12"/>
      <c r="N12"/>
      <c r="O12"/>
      <c r="P12"/>
    </row>
    <row r="13" spans="1:16">
      <c r="A13" t="s">
        <v>20</v>
      </c>
      <c r="C13" s="5" t="s">
        <v>15</v>
      </c>
      <c r="D13" s="5"/>
      <c r="E13"/>
      <c r="G13"/>
      <c r="H13"/>
      <c r="I13"/>
      <c r="J13"/>
      <c r="K13"/>
      <c r="L13"/>
      <c r="M13"/>
      <c r="N13"/>
      <c r="O13"/>
      <c r="P13"/>
    </row>
    <row r="14" spans="1:16">
      <c r="A14" t="s">
        <v>25</v>
      </c>
      <c r="C14"/>
      <c r="D14"/>
      <c r="E14"/>
      <c r="G14"/>
      <c r="H14"/>
      <c r="I14"/>
      <c r="J14"/>
      <c r="K14"/>
      <c r="L14"/>
      <c r="M14"/>
      <c r="N14"/>
      <c r="O14"/>
      <c r="P14"/>
    </row>
    <row r="15" spans="1:16">
      <c r="A15" s="4" t="s">
        <v>19</v>
      </c>
      <c r="B15" s="4"/>
      <c r="C15" s="16">
        <f ca="1">(C7+C11)+(C8+C12)*INT(MAX(F21:F3533))</f>
        <v>32835.498439774601</v>
      </c>
      <c r="D15"/>
      <c r="E15" s="42" t="s">
        <v>95</v>
      </c>
      <c r="F15" s="36">
        <v>1</v>
      </c>
      <c r="G15"/>
      <c r="H15"/>
      <c r="I15"/>
      <c r="J15"/>
      <c r="K15"/>
      <c r="L15"/>
      <c r="M15"/>
      <c r="N15"/>
      <c r="O15"/>
      <c r="P15"/>
    </row>
    <row r="16" spans="1:16">
      <c r="A16" s="7" t="s">
        <v>5</v>
      </c>
      <c r="B16" s="7"/>
      <c r="C16" s="17">
        <f ca="1">+C8+C12</f>
        <v>1.4980137816645371</v>
      </c>
      <c r="D16"/>
      <c r="E16" s="42" t="s">
        <v>96</v>
      </c>
      <c r="F16" s="43">
        <f ca="1">NOW()+15018.5+$C$5/24</f>
        <v>60341.449946990746</v>
      </c>
      <c r="G16"/>
      <c r="H16"/>
      <c r="I16"/>
      <c r="J16"/>
      <c r="K16"/>
      <c r="L16"/>
      <c r="M16"/>
      <c r="N16"/>
      <c r="O16"/>
      <c r="P16"/>
    </row>
    <row r="17" spans="1:16" ht="13.5" thickBot="1">
      <c r="A17" s="18" t="s">
        <v>33</v>
      </c>
      <c r="C17">
        <f>COUNT(C21:C2191)</f>
        <v>15</v>
      </c>
      <c r="D17"/>
      <c r="E17" s="42" t="s">
        <v>97</v>
      </c>
      <c r="F17" s="43">
        <f ca="1">ROUND(2*(F16-$C$7)/$C$8,0)/2+F15</f>
        <v>20870.5</v>
      </c>
      <c r="G17"/>
      <c r="H17"/>
      <c r="I17"/>
      <c r="J17"/>
      <c r="K17"/>
      <c r="L17"/>
      <c r="M17"/>
      <c r="N17"/>
      <c r="O17"/>
      <c r="P17"/>
    </row>
    <row r="18" spans="1:16" ht="14.25" thickTop="1" thickBot="1">
      <c r="A18" s="7" t="s">
        <v>6</v>
      </c>
      <c r="B18" s="7"/>
      <c r="C18" s="2">
        <f ca="1">+C15</f>
        <v>32835.498439774601</v>
      </c>
      <c r="D18" s="3">
        <f ca="1">+C16</f>
        <v>1.4980137816645371</v>
      </c>
      <c r="E18" s="42" t="s">
        <v>98</v>
      </c>
      <c r="F18" s="40">
        <f ca="1">ROUND(2*(F16-$C$15)/$C$16,0)/2+F15</f>
        <v>18362.5</v>
      </c>
      <c r="G18"/>
      <c r="H18"/>
      <c r="I18"/>
      <c r="J18"/>
      <c r="K18"/>
      <c r="L18"/>
      <c r="M18"/>
      <c r="N18"/>
      <c r="O18"/>
      <c r="P18"/>
    </row>
    <row r="19" spans="1:16" ht="13.5" thickTop="1">
      <c r="C19"/>
      <c r="D19"/>
      <c r="E19" s="42" t="s">
        <v>99</v>
      </c>
      <c r="F19" s="44">
        <f ca="1">+$C$15+$C$16*F18-15018.5-$C$5/24</f>
        <v>45323.943172256324</v>
      </c>
      <c r="G19"/>
      <c r="H19"/>
      <c r="I19"/>
      <c r="J19"/>
      <c r="K19"/>
      <c r="L19"/>
      <c r="M19"/>
      <c r="N19"/>
      <c r="O19"/>
      <c r="P19"/>
    </row>
    <row r="20" spans="1:16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43</v>
      </c>
      <c r="I20" s="9" t="s">
        <v>46</v>
      </c>
      <c r="J20" s="9" t="s">
        <v>40</v>
      </c>
      <c r="K20" s="9" t="s">
        <v>38</v>
      </c>
      <c r="L20" s="9" t="s">
        <v>24</v>
      </c>
      <c r="M20" s="8" t="s">
        <v>23</v>
      </c>
      <c r="N20" s="6" t="s">
        <v>16</v>
      </c>
      <c r="O20" t="s">
        <v>27</v>
      </c>
      <c r="P20" t="s">
        <v>28</v>
      </c>
    </row>
    <row r="21" spans="1:16">
      <c r="A21" t="s">
        <v>13</v>
      </c>
      <c r="C21" s="19">
        <f>+C4</f>
        <v>29078.487000000001</v>
      </c>
      <c r="D21" s="19" t="s">
        <v>15</v>
      </c>
      <c r="E21" s="11">
        <f t="shared" ref="E21:E35" si="0">+(C21-C$7)/C$8</f>
        <v>0</v>
      </c>
      <c r="F21">
        <f t="shared" ref="F21:F35" si="1">ROUND(2*E21,0)/2</f>
        <v>0</v>
      </c>
      <c r="G21" s="10">
        <f t="shared" ref="G21:G35" si="2">+C21-(C$7+F21*C$8)</f>
        <v>0</v>
      </c>
      <c r="H21" s="10">
        <f>+G21</f>
        <v>0</v>
      </c>
      <c r="L21" s="10">
        <f t="shared" ref="L21:L35" ca="1" si="3">+C$11+C$12*F21</f>
        <v>-7.1246400588666336E-3</v>
      </c>
      <c r="N21" s="13">
        <f t="shared" ref="N21:N35" si="4">+C21-15018.5</f>
        <v>14059.987000000001</v>
      </c>
      <c r="O21" s="12">
        <f t="shared" ref="O21:O35" si="5">N21</f>
        <v>14059.987000000001</v>
      </c>
      <c r="P21" s="12">
        <f t="shared" ref="P21:P35" si="6">N21-7/24</f>
        <v>14059.695333333335</v>
      </c>
    </row>
    <row r="22" spans="1:16">
      <c r="A22" t="s">
        <v>30</v>
      </c>
      <c r="C22" s="19">
        <v>29078.476999999999</v>
      </c>
      <c r="D22" s="19"/>
      <c r="E22" s="11">
        <f t="shared" si="0"/>
        <v>-6.6755060081531807E-3</v>
      </c>
      <c r="F22">
        <f t="shared" si="1"/>
        <v>0</v>
      </c>
      <c r="G22" s="10">
        <f t="shared" si="2"/>
        <v>-1.0000000002037268E-2</v>
      </c>
      <c r="H22" s="10">
        <f t="shared" ref="H22:H35" si="7">G22</f>
        <v>-1.0000000002037268E-2</v>
      </c>
      <c r="L22" s="10">
        <f t="shared" ca="1" si="3"/>
        <v>-7.1246400588666336E-3</v>
      </c>
      <c r="N22" s="13">
        <f t="shared" si="4"/>
        <v>14059.976999999999</v>
      </c>
      <c r="O22" s="12">
        <f t="shared" si="5"/>
        <v>14059.976999999999</v>
      </c>
      <c r="P22" s="12">
        <f t="shared" si="6"/>
        <v>14059.685333333333</v>
      </c>
    </row>
    <row r="23" spans="1:16">
      <c r="A23" t="s">
        <v>30</v>
      </c>
      <c r="C23" s="19">
        <v>29102.442999999999</v>
      </c>
      <c r="D23" s="19"/>
      <c r="E23" s="11">
        <f t="shared" si="0"/>
        <v>15.991842189872665</v>
      </c>
      <c r="F23">
        <f t="shared" si="1"/>
        <v>16</v>
      </c>
      <c r="G23" s="10">
        <f t="shared" si="2"/>
        <v>-1.2220512002386386E-2</v>
      </c>
      <c r="H23" s="10">
        <f t="shared" si="7"/>
        <v>-1.2220512002386386E-2</v>
      </c>
      <c r="L23" s="10">
        <f t="shared" ca="1" si="3"/>
        <v>-7.1246454262718561E-3</v>
      </c>
      <c r="N23" s="13">
        <f t="shared" si="4"/>
        <v>14083.942999999999</v>
      </c>
      <c r="O23" s="12">
        <f t="shared" si="5"/>
        <v>14083.942999999999</v>
      </c>
      <c r="P23" s="12">
        <f t="shared" si="6"/>
        <v>14083.651333333333</v>
      </c>
    </row>
    <row r="24" spans="1:16">
      <c r="A24" t="s">
        <v>30</v>
      </c>
      <c r="C24" s="19">
        <v>29108.432000000001</v>
      </c>
      <c r="D24" s="19"/>
      <c r="E24" s="11">
        <f t="shared" si="0"/>
        <v>19.989802737342046</v>
      </c>
      <c r="F24">
        <f t="shared" si="1"/>
        <v>20</v>
      </c>
      <c r="G24" s="10">
        <f t="shared" si="2"/>
        <v>-1.5275640002073487E-2</v>
      </c>
      <c r="H24" s="10">
        <f t="shared" si="7"/>
        <v>-1.5275640002073487E-2</v>
      </c>
      <c r="L24" s="10">
        <f t="shared" ca="1" si="3"/>
        <v>-7.1246467681231624E-3</v>
      </c>
      <c r="N24" s="13">
        <f t="shared" si="4"/>
        <v>14089.932000000001</v>
      </c>
      <c r="O24" s="12">
        <f t="shared" si="5"/>
        <v>14089.932000000001</v>
      </c>
      <c r="P24" s="12">
        <f t="shared" si="6"/>
        <v>14089.640333333335</v>
      </c>
    </row>
    <row r="25" spans="1:16">
      <c r="A25" t="s">
        <v>30</v>
      </c>
      <c r="C25" s="19">
        <v>29135.411</v>
      </c>
      <c r="D25" s="19"/>
      <c r="E25" s="11">
        <f t="shared" si="0"/>
        <v>37.999650393068997</v>
      </c>
      <c r="F25">
        <f t="shared" si="1"/>
        <v>38</v>
      </c>
      <c r="G25" s="10">
        <f t="shared" si="2"/>
        <v>-5.2371600031619892E-4</v>
      </c>
      <c r="H25" s="10">
        <f t="shared" si="7"/>
        <v>-5.2371600031619892E-4</v>
      </c>
      <c r="L25" s="10">
        <f t="shared" ca="1" si="3"/>
        <v>-7.1246528064540376E-3</v>
      </c>
      <c r="N25" s="13">
        <f t="shared" si="4"/>
        <v>14116.911</v>
      </c>
      <c r="O25" s="12">
        <f t="shared" si="5"/>
        <v>14116.911</v>
      </c>
      <c r="P25" s="12">
        <f t="shared" si="6"/>
        <v>14116.619333333334</v>
      </c>
    </row>
    <row r="26" spans="1:16">
      <c r="A26" t="s">
        <v>30</v>
      </c>
      <c r="C26" s="19">
        <v>29165.331999999999</v>
      </c>
      <c r="D26" s="19"/>
      <c r="E26" s="11">
        <f t="shared" si="0"/>
        <v>57.973431915993899</v>
      </c>
      <c r="F26">
        <f t="shared" si="1"/>
        <v>58</v>
      </c>
      <c r="G26" s="10">
        <f t="shared" si="2"/>
        <v>-3.9799356003641151E-2</v>
      </c>
      <c r="H26" s="10">
        <f t="shared" si="7"/>
        <v>-3.9799356003641151E-2</v>
      </c>
      <c r="L26" s="10">
        <f t="shared" ca="1" si="3"/>
        <v>-7.1246595157105665E-3</v>
      </c>
      <c r="N26" s="13">
        <f t="shared" si="4"/>
        <v>14146.831999999999</v>
      </c>
      <c r="O26" s="12">
        <f t="shared" si="5"/>
        <v>14146.831999999999</v>
      </c>
      <c r="P26" s="12">
        <f t="shared" si="6"/>
        <v>14146.540333333332</v>
      </c>
    </row>
    <row r="27" spans="1:16">
      <c r="A27" t="s">
        <v>30</v>
      </c>
      <c r="C27" s="19">
        <v>29216.267</v>
      </c>
      <c r="D27" s="19"/>
      <c r="E27" s="11">
        <f t="shared" si="0"/>
        <v>91.975121761595943</v>
      </c>
      <c r="F27">
        <f t="shared" si="1"/>
        <v>92</v>
      </c>
      <c r="G27" s="10">
        <f t="shared" si="2"/>
        <v>-3.7267944000632269E-2</v>
      </c>
      <c r="H27" s="10">
        <f t="shared" si="7"/>
        <v>-3.7267944000632269E-2</v>
      </c>
      <c r="L27" s="10">
        <f t="shared" ca="1" si="3"/>
        <v>-7.1246709214466651E-3</v>
      </c>
      <c r="N27" s="13">
        <f t="shared" si="4"/>
        <v>14197.767</v>
      </c>
      <c r="O27" s="12">
        <f t="shared" si="5"/>
        <v>14197.767</v>
      </c>
      <c r="P27" s="12">
        <f t="shared" si="6"/>
        <v>14197.475333333334</v>
      </c>
    </row>
    <row r="28" spans="1:16">
      <c r="A28" t="s">
        <v>30</v>
      </c>
      <c r="C28" s="19">
        <v>29424.51</v>
      </c>
      <c r="D28" s="19"/>
      <c r="E28" s="11">
        <f t="shared" si="0"/>
        <v>230.98786149885865</v>
      </c>
      <c r="F28">
        <f t="shared" si="1"/>
        <v>231</v>
      </c>
      <c r="G28" s="10">
        <f t="shared" si="2"/>
        <v>-1.8183642001531553E-2</v>
      </c>
      <c r="H28" s="10">
        <f t="shared" si="7"/>
        <v>-1.8183642001531553E-2</v>
      </c>
      <c r="L28" s="10">
        <f t="shared" ca="1" si="3"/>
        <v>-7.1247175507795392E-3</v>
      </c>
      <c r="N28" s="13">
        <f t="shared" si="4"/>
        <v>14406.009999999998</v>
      </c>
      <c r="O28" s="12">
        <f t="shared" si="5"/>
        <v>14406.009999999998</v>
      </c>
      <c r="P28" s="12">
        <f t="shared" si="6"/>
        <v>14405.718333333332</v>
      </c>
    </row>
    <row r="29" spans="1:16">
      <c r="A29" t="s">
        <v>30</v>
      </c>
      <c r="C29" s="19">
        <v>29514.425999999999</v>
      </c>
      <c r="D29" s="19"/>
      <c r="E29" s="11">
        <f t="shared" si="0"/>
        <v>291.01134130954114</v>
      </c>
      <c r="F29">
        <f t="shared" si="1"/>
        <v>291</v>
      </c>
      <c r="G29" s="10">
        <f t="shared" si="2"/>
        <v>1.6989437997835921E-2</v>
      </c>
      <c r="H29" s="10">
        <f t="shared" si="7"/>
        <v>1.6989437997835921E-2</v>
      </c>
      <c r="L29" s="10">
        <f t="shared" ca="1" si="3"/>
        <v>-7.1247376785491248E-3</v>
      </c>
      <c r="N29" s="13">
        <f t="shared" si="4"/>
        <v>14495.925999999999</v>
      </c>
      <c r="O29" s="12">
        <f t="shared" si="5"/>
        <v>14495.925999999999</v>
      </c>
      <c r="P29" s="12">
        <f t="shared" si="6"/>
        <v>14495.634333333333</v>
      </c>
    </row>
    <row r="30" spans="1:16">
      <c r="A30" t="s">
        <v>30</v>
      </c>
      <c r="C30" s="19">
        <v>29553.374</v>
      </c>
      <c r="D30" s="19"/>
      <c r="E30" s="11">
        <f t="shared" si="0"/>
        <v>317.01110210479948</v>
      </c>
      <c r="F30">
        <f t="shared" si="1"/>
        <v>317</v>
      </c>
      <c r="G30" s="10">
        <f t="shared" si="2"/>
        <v>1.6631105998385465E-2</v>
      </c>
      <c r="H30" s="10">
        <f t="shared" si="7"/>
        <v>1.6631105998385465E-2</v>
      </c>
      <c r="L30" s="10">
        <f t="shared" ca="1" si="3"/>
        <v>-7.1247464005826117E-3</v>
      </c>
      <c r="N30" s="13">
        <f t="shared" si="4"/>
        <v>14534.874</v>
      </c>
      <c r="O30" s="12">
        <f t="shared" si="5"/>
        <v>14534.874</v>
      </c>
      <c r="P30" s="12">
        <f t="shared" si="6"/>
        <v>14534.582333333334</v>
      </c>
    </row>
    <row r="31" spans="1:16">
      <c r="A31" t="s">
        <v>30</v>
      </c>
      <c r="C31" s="19">
        <v>29571.359</v>
      </c>
      <c r="D31" s="19"/>
      <c r="E31" s="11">
        <f t="shared" si="0"/>
        <v>329.01699965801743</v>
      </c>
      <c r="F31">
        <f t="shared" si="1"/>
        <v>329</v>
      </c>
      <c r="G31" s="10">
        <f t="shared" si="2"/>
        <v>2.5465721999353264E-2</v>
      </c>
      <c r="H31" s="10">
        <f t="shared" si="7"/>
        <v>2.5465721999353264E-2</v>
      </c>
      <c r="L31" s="10">
        <f t="shared" ca="1" si="3"/>
        <v>-7.1247504261365288E-3</v>
      </c>
      <c r="N31" s="13">
        <f t="shared" si="4"/>
        <v>14552.859</v>
      </c>
      <c r="O31" s="12">
        <f t="shared" si="5"/>
        <v>14552.859</v>
      </c>
      <c r="P31" s="12">
        <f t="shared" si="6"/>
        <v>14552.567333333334</v>
      </c>
    </row>
    <row r="32" spans="1:16">
      <c r="A32" t="s">
        <v>30</v>
      </c>
      <c r="C32" s="19">
        <v>31003.407999999999</v>
      </c>
      <c r="D32" s="19"/>
      <c r="E32" s="11">
        <f t="shared" si="0"/>
        <v>1284.9821698102364</v>
      </c>
      <c r="F32">
        <f t="shared" si="1"/>
        <v>1285</v>
      </c>
      <c r="G32" s="10">
        <f t="shared" si="2"/>
        <v>-2.6709870002378011E-2</v>
      </c>
      <c r="H32" s="10">
        <f t="shared" si="7"/>
        <v>-2.6709870002378011E-2</v>
      </c>
      <c r="L32" s="10">
        <f t="shared" ca="1" si="3"/>
        <v>-7.1250711285985964E-3</v>
      </c>
      <c r="N32" s="13">
        <f t="shared" si="4"/>
        <v>15984.907999999999</v>
      </c>
      <c r="O32" s="12">
        <f t="shared" si="5"/>
        <v>15984.907999999999</v>
      </c>
      <c r="P32" s="12">
        <f t="shared" si="6"/>
        <v>15984.616333333333</v>
      </c>
    </row>
    <row r="33" spans="1:16">
      <c r="A33" t="s">
        <v>30</v>
      </c>
      <c r="C33" s="19">
        <v>31030.418000000001</v>
      </c>
      <c r="D33" s="19"/>
      <c r="E33" s="11">
        <f t="shared" si="0"/>
        <v>1303.0127115345863</v>
      </c>
      <c r="F33">
        <f t="shared" si="1"/>
        <v>1303</v>
      </c>
      <c r="G33" s="10">
        <f t="shared" si="2"/>
        <v>1.904205400205683E-2</v>
      </c>
      <c r="H33" s="10">
        <f t="shared" si="7"/>
        <v>1.904205400205683E-2</v>
      </c>
      <c r="L33" s="10">
        <f t="shared" ca="1" si="3"/>
        <v>-7.1250771669294716E-3</v>
      </c>
      <c r="N33" s="13">
        <f t="shared" si="4"/>
        <v>16011.918000000001</v>
      </c>
      <c r="O33" s="12">
        <f t="shared" si="5"/>
        <v>16011.918000000001</v>
      </c>
      <c r="P33" s="12">
        <f t="shared" si="6"/>
        <v>16011.626333333335</v>
      </c>
    </row>
    <row r="34" spans="1:16">
      <c r="A34" t="s">
        <v>31</v>
      </c>
      <c r="C34" s="19">
        <v>32823.510999999999</v>
      </c>
      <c r="D34" s="19"/>
      <c r="E34" s="11">
        <f t="shared" si="0"/>
        <v>2499.9930207584684</v>
      </c>
      <c r="F34">
        <f t="shared" si="1"/>
        <v>2500</v>
      </c>
      <c r="G34" s="10">
        <f t="shared" si="2"/>
        <v>-1.0455000003275927E-2</v>
      </c>
      <c r="H34" s="10">
        <f t="shared" si="7"/>
        <v>-1.0455000003275927E-2</v>
      </c>
      <c r="L34" s="10">
        <f t="shared" ca="1" si="3"/>
        <v>-7.1254787159327083E-3</v>
      </c>
      <c r="N34" s="13">
        <f t="shared" si="4"/>
        <v>17805.010999999999</v>
      </c>
      <c r="O34" s="12">
        <f t="shared" si="5"/>
        <v>17805.010999999999</v>
      </c>
      <c r="P34" s="12">
        <f t="shared" si="6"/>
        <v>17804.719333333331</v>
      </c>
    </row>
    <row r="35" spans="1:16">
      <c r="A35" t="s">
        <v>31</v>
      </c>
      <c r="C35" s="19">
        <v>32835.491000000002</v>
      </c>
      <c r="D35" s="19"/>
      <c r="E35" s="11">
        <f t="shared" si="0"/>
        <v>2507.9902769546088</v>
      </c>
      <c r="F35">
        <f t="shared" si="1"/>
        <v>2508</v>
      </c>
      <c r="G35" s="10">
        <f t="shared" si="2"/>
        <v>-1.4565256002242677E-2</v>
      </c>
      <c r="H35" s="10">
        <f t="shared" si="7"/>
        <v>-1.4565256002242677E-2</v>
      </c>
      <c r="L35" s="10">
        <f t="shared" ca="1" si="3"/>
        <v>-7.12548139963532E-3</v>
      </c>
      <c r="N35" s="13">
        <f t="shared" si="4"/>
        <v>17816.991000000002</v>
      </c>
      <c r="O35" s="12">
        <f t="shared" si="5"/>
        <v>17816.991000000002</v>
      </c>
      <c r="P35" s="12">
        <f t="shared" si="6"/>
        <v>17816.699333333334</v>
      </c>
    </row>
    <row r="36" spans="1:16">
      <c r="C36" s="19"/>
      <c r="D36" s="19"/>
    </row>
    <row r="37" spans="1:16">
      <c r="C37" s="19"/>
      <c r="D37" s="19"/>
    </row>
    <row r="38" spans="1:16">
      <c r="C38" s="19"/>
      <c r="D38" s="19"/>
    </row>
    <row r="39" spans="1:16">
      <c r="C39" s="19"/>
      <c r="D39" s="19"/>
    </row>
    <row r="40" spans="1:16">
      <c r="A40" s="12"/>
      <c r="C40" s="19"/>
      <c r="D40" s="19"/>
    </row>
    <row r="41" spans="1:16">
      <c r="C41" s="19"/>
      <c r="D41" s="19"/>
    </row>
    <row r="42" spans="1:16">
      <c r="C42" s="19"/>
      <c r="D42" s="19"/>
    </row>
    <row r="43" spans="1:16">
      <c r="C43" s="19"/>
      <c r="D43" s="19"/>
    </row>
    <row r="44" spans="1:16">
      <c r="C44" s="19"/>
      <c r="D44" s="19"/>
    </row>
    <row r="45" spans="1:16">
      <c r="C45" s="19"/>
      <c r="D45" s="19"/>
    </row>
    <row r="46" spans="1:16">
      <c r="C46" s="19"/>
      <c r="D46" s="19"/>
    </row>
    <row r="47" spans="1:16">
      <c r="C47" s="19"/>
      <c r="D47" s="19"/>
    </row>
    <row r="48" spans="1:16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</sheetData>
  <sheetProtection sheet="1"/>
  <phoneticPr fontId="9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0"/>
  <sheetViews>
    <sheetView topLeftCell="A2" workbookViewId="0">
      <selection activeCell="A11" sqref="A11:IV448"/>
    </sheetView>
  </sheetViews>
  <sheetFormatPr defaultRowHeight="12.75"/>
  <cols>
    <col min="1" max="1" width="19.7109375" style="23" customWidth="1"/>
    <col min="2" max="2" width="4.42578125" style="22" customWidth="1"/>
    <col min="3" max="3" width="12.7109375" style="23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23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21" t="s">
        <v>36</v>
      </c>
      <c r="I1" s="24" t="s">
        <v>37</v>
      </c>
      <c r="J1" s="25" t="s">
        <v>38</v>
      </c>
    </row>
    <row r="2" spans="1:16">
      <c r="I2" s="26" t="s">
        <v>39</v>
      </c>
      <c r="J2" s="27" t="s">
        <v>40</v>
      </c>
    </row>
    <row r="3" spans="1:16">
      <c r="A3" s="28" t="s">
        <v>41</v>
      </c>
      <c r="I3" s="26" t="s">
        <v>42</v>
      </c>
      <c r="J3" s="27" t="s">
        <v>43</v>
      </c>
    </row>
    <row r="4" spans="1:16">
      <c r="I4" s="26" t="s">
        <v>44</v>
      </c>
      <c r="J4" s="27" t="s">
        <v>43</v>
      </c>
    </row>
    <row r="5" spans="1:16" ht="13.5" thickBot="1">
      <c r="I5" s="29" t="s">
        <v>45</v>
      </c>
      <c r="J5" s="30" t="s">
        <v>46</v>
      </c>
    </row>
    <row r="10" spans="1:16" ht="13.5" thickBot="1"/>
    <row r="11" spans="1:16" ht="12.75" customHeight="1" thickBot="1">
      <c r="A11" s="23" t="str">
        <f t="shared" ref="A11:A24" si="0">P11</f>
        <v> VSS 1.485 </v>
      </c>
      <c r="B11" s="5" t="str">
        <f t="shared" ref="B11:B24" si="1">IF(H11=INT(H11),"I","II")</f>
        <v>I</v>
      </c>
      <c r="C11" s="23">
        <f t="shared" ref="C11:C24" si="2">1*G11</f>
        <v>29078.476999999999</v>
      </c>
      <c r="D11" s="22" t="str">
        <f t="shared" ref="D11:D24" si="3">VLOOKUP(F11,I$1:J$5,2,FALSE)</f>
        <v>vis</v>
      </c>
      <c r="E11" s="31">
        <f>VLOOKUP(C11,Active!C$21:E$972,3,FALSE)</f>
        <v>-9404.5780812178837</v>
      </c>
      <c r="F11" s="5" t="s">
        <v>45</v>
      </c>
      <c r="G11" s="22" t="str">
        <f t="shared" ref="G11:G24" si="4">MID(I11,3,LEN(I11)-3)</f>
        <v>29078.477</v>
      </c>
      <c r="H11" s="23">
        <f t="shared" ref="H11:H24" si="5">1*K11</f>
        <v>0</v>
      </c>
      <c r="I11" s="32" t="s">
        <v>47</v>
      </c>
      <c r="J11" s="33" t="s">
        <v>48</v>
      </c>
      <c r="K11" s="32">
        <v>0</v>
      </c>
      <c r="L11" s="32" t="s">
        <v>49</v>
      </c>
      <c r="M11" s="33" t="s">
        <v>50</v>
      </c>
      <c r="N11" s="33"/>
      <c r="O11" s="34" t="s">
        <v>51</v>
      </c>
      <c r="P11" s="34" t="s">
        <v>52</v>
      </c>
    </row>
    <row r="12" spans="1:16" ht="12.75" customHeight="1" thickBot="1">
      <c r="A12" s="23" t="str">
        <f t="shared" si="0"/>
        <v> VSS 1.485 </v>
      </c>
      <c r="B12" s="5" t="str">
        <f t="shared" si="1"/>
        <v>I</v>
      </c>
      <c r="C12" s="23">
        <f t="shared" si="2"/>
        <v>29102.442999999999</v>
      </c>
      <c r="D12" s="22" t="str">
        <f t="shared" si="3"/>
        <v>vis</v>
      </c>
      <c r="E12" s="31">
        <f>VLOOKUP(C12,Active!C$21:E$972,3,FALSE)</f>
        <v>-9396.5787888244886</v>
      </c>
      <c r="F12" s="5" t="s">
        <v>45</v>
      </c>
      <c r="G12" s="22" t="str">
        <f t="shared" si="4"/>
        <v>29102.443</v>
      </c>
      <c r="H12" s="23">
        <f t="shared" si="5"/>
        <v>16</v>
      </c>
      <c r="I12" s="32" t="s">
        <v>53</v>
      </c>
      <c r="J12" s="33" t="s">
        <v>54</v>
      </c>
      <c r="K12" s="32">
        <v>16</v>
      </c>
      <c r="L12" s="32" t="s">
        <v>55</v>
      </c>
      <c r="M12" s="33" t="s">
        <v>50</v>
      </c>
      <c r="N12" s="33"/>
      <c r="O12" s="34" t="s">
        <v>51</v>
      </c>
      <c r="P12" s="34" t="s">
        <v>52</v>
      </c>
    </row>
    <row r="13" spans="1:16" ht="12.75" customHeight="1" thickBot="1">
      <c r="A13" s="23" t="str">
        <f t="shared" si="0"/>
        <v> VSS 1.485 </v>
      </c>
      <c r="B13" s="5" t="str">
        <f t="shared" si="1"/>
        <v>I</v>
      </c>
      <c r="C13" s="23">
        <f t="shared" si="2"/>
        <v>29108.432000000001</v>
      </c>
      <c r="D13" s="22" t="str">
        <f t="shared" si="3"/>
        <v>vis</v>
      </c>
      <c r="E13" s="31">
        <f>VLOOKUP(C13,Active!C$21:E$972,3,FALSE)</f>
        <v>-9394.5798001678886</v>
      </c>
      <c r="F13" s="5" t="s">
        <v>45</v>
      </c>
      <c r="G13" s="22" t="str">
        <f t="shared" si="4"/>
        <v>29108.432</v>
      </c>
      <c r="H13" s="23">
        <f t="shared" si="5"/>
        <v>20</v>
      </c>
      <c r="I13" s="32" t="s">
        <v>56</v>
      </c>
      <c r="J13" s="33" t="s">
        <v>57</v>
      </c>
      <c r="K13" s="32">
        <v>20</v>
      </c>
      <c r="L13" s="32" t="s">
        <v>58</v>
      </c>
      <c r="M13" s="33" t="s">
        <v>50</v>
      </c>
      <c r="N13" s="33"/>
      <c r="O13" s="34" t="s">
        <v>51</v>
      </c>
      <c r="P13" s="34" t="s">
        <v>52</v>
      </c>
    </row>
    <row r="14" spans="1:16" ht="12.75" customHeight="1" thickBot="1">
      <c r="A14" s="23" t="str">
        <f t="shared" si="0"/>
        <v> VSS 1.485 </v>
      </c>
      <c r="B14" s="5" t="str">
        <f t="shared" si="1"/>
        <v>I</v>
      </c>
      <c r="C14" s="23">
        <f t="shared" si="2"/>
        <v>29135.411</v>
      </c>
      <c r="D14" s="22" t="str">
        <f t="shared" si="3"/>
        <v>vis</v>
      </c>
      <c r="E14" s="31">
        <f>VLOOKUP(C14,Active!C$21:E$972,3,FALSE)</f>
        <v>-9385.5748385772422</v>
      </c>
      <c r="F14" s="5" t="s">
        <v>45</v>
      </c>
      <c r="G14" s="22" t="str">
        <f t="shared" si="4"/>
        <v>29135.411</v>
      </c>
      <c r="H14" s="23">
        <f t="shared" si="5"/>
        <v>38</v>
      </c>
      <c r="I14" s="32" t="s">
        <v>59</v>
      </c>
      <c r="J14" s="33" t="s">
        <v>60</v>
      </c>
      <c r="K14" s="32">
        <v>38</v>
      </c>
      <c r="L14" s="32" t="s">
        <v>61</v>
      </c>
      <c r="M14" s="33" t="s">
        <v>50</v>
      </c>
      <c r="N14" s="33"/>
      <c r="O14" s="34" t="s">
        <v>51</v>
      </c>
      <c r="P14" s="34" t="s">
        <v>52</v>
      </c>
    </row>
    <row r="15" spans="1:16" ht="12.75" customHeight="1" thickBot="1">
      <c r="A15" s="23" t="str">
        <f t="shared" si="0"/>
        <v> VSS 1.485 </v>
      </c>
      <c r="B15" s="5" t="str">
        <f t="shared" si="1"/>
        <v>I</v>
      </c>
      <c r="C15" s="23">
        <f t="shared" si="2"/>
        <v>29165.331999999999</v>
      </c>
      <c r="D15" s="22" t="str">
        <f t="shared" si="3"/>
        <v>vis</v>
      </c>
      <c r="E15" s="31">
        <f>VLOOKUP(C15,Active!C$21:E$972,3,FALSE)</f>
        <v>-9375.58790593505</v>
      </c>
      <c r="F15" s="5" t="s">
        <v>45</v>
      </c>
      <c r="G15" s="22" t="str">
        <f t="shared" si="4"/>
        <v>29165.332</v>
      </c>
      <c r="H15" s="23">
        <f t="shared" si="5"/>
        <v>58</v>
      </c>
      <c r="I15" s="32" t="s">
        <v>62</v>
      </c>
      <c r="J15" s="33" t="s">
        <v>63</v>
      </c>
      <c r="K15" s="32">
        <v>58</v>
      </c>
      <c r="L15" s="32" t="s">
        <v>64</v>
      </c>
      <c r="M15" s="33" t="s">
        <v>50</v>
      </c>
      <c r="N15" s="33"/>
      <c r="O15" s="34" t="s">
        <v>51</v>
      </c>
      <c r="P15" s="34" t="s">
        <v>52</v>
      </c>
    </row>
    <row r="16" spans="1:16" ht="12.75" customHeight="1" thickBot="1">
      <c r="A16" s="23" t="str">
        <f t="shared" si="0"/>
        <v> VSS 1.485 </v>
      </c>
      <c r="B16" s="5" t="str">
        <f t="shared" si="1"/>
        <v>I</v>
      </c>
      <c r="C16" s="23">
        <f t="shared" si="2"/>
        <v>29216.267</v>
      </c>
      <c r="D16" s="22" t="str">
        <f t="shared" si="3"/>
        <v>vis</v>
      </c>
      <c r="E16" s="31">
        <f>VLOOKUP(C16,Active!C$21:E$972,3,FALSE)</f>
        <v>-9358.5869897180073</v>
      </c>
      <c r="F16" s="5" t="s">
        <v>45</v>
      </c>
      <c r="G16" s="22" t="str">
        <f t="shared" si="4"/>
        <v>29216.267</v>
      </c>
      <c r="H16" s="23">
        <f t="shared" si="5"/>
        <v>92</v>
      </c>
      <c r="I16" s="32" t="s">
        <v>65</v>
      </c>
      <c r="J16" s="33" t="s">
        <v>66</v>
      </c>
      <c r="K16" s="32">
        <v>92</v>
      </c>
      <c r="L16" s="32" t="s">
        <v>67</v>
      </c>
      <c r="M16" s="33" t="s">
        <v>50</v>
      </c>
      <c r="N16" s="33"/>
      <c r="O16" s="34" t="s">
        <v>51</v>
      </c>
      <c r="P16" s="34" t="s">
        <v>52</v>
      </c>
    </row>
    <row r="17" spans="1:16" ht="12.75" customHeight="1" thickBot="1">
      <c r="A17" s="23" t="str">
        <f t="shared" si="0"/>
        <v> VSS 1.485 </v>
      </c>
      <c r="B17" s="5" t="str">
        <f t="shared" si="1"/>
        <v>I</v>
      </c>
      <c r="C17" s="23">
        <f t="shared" si="2"/>
        <v>29424.51</v>
      </c>
      <c r="D17" s="22" t="str">
        <f t="shared" si="3"/>
        <v>vis</v>
      </c>
      <c r="E17" s="31">
        <f>VLOOKUP(C17,Active!C$21:E$972,3,FALSE)</f>
        <v>-9289.0803283695168</v>
      </c>
      <c r="F17" s="5" t="s">
        <v>45</v>
      </c>
      <c r="G17" s="22" t="str">
        <f t="shared" si="4"/>
        <v>29424.510</v>
      </c>
      <c r="H17" s="23">
        <f t="shared" si="5"/>
        <v>231</v>
      </c>
      <c r="I17" s="32" t="s">
        <v>68</v>
      </c>
      <c r="J17" s="33" t="s">
        <v>69</v>
      </c>
      <c r="K17" s="32">
        <v>231</v>
      </c>
      <c r="L17" s="32" t="s">
        <v>58</v>
      </c>
      <c r="M17" s="33" t="s">
        <v>50</v>
      </c>
      <c r="N17" s="33"/>
      <c r="O17" s="34" t="s">
        <v>51</v>
      </c>
      <c r="P17" s="34" t="s">
        <v>52</v>
      </c>
    </row>
    <row r="18" spans="1:16" ht="12.75" customHeight="1" thickBot="1">
      <c r="A18" s="23" t="str">
        <f t="shared" si="0"/>
        <v> VSS 1.485 </v>
      </c>
      <c r="B18" s="5" t="str">
        <f t="shared" si="1"/>
        <v>I</v>
      </c>
      <c r="C18" s="23">
        <f t="shared" si="2"/>
        <v>29514.425999999999</v>
      </c>
      <c r="D18" s="22" t="str">
        <f t="shared" si="3"/>
        <v>vis</v>
      </c>
      <c r="E18" s="31">
        <f>VLOOKUP(C18,Active!C$21:E$972,3,FALSE)</f>
        <v>-9259.068462607831</v>
      </c>
      <c r="F18" s="5" t="s">
        <v>45</v>
      </c>
      <c r="G18" s="22" t="str">
        <f t="shared" si="4"/>
        <v>29514.426</v>
      </c>
      <c r="H18" s="23">
        <f t="shared" si="5"/>
        <v>291</v>
      </c>
      <c r="I18" s="32" t="s">
        <v>70</v>
      </c>
      <c r="J18" s="33" t="s">
        <v>71</v>
      </c>
      <c r="K18" s="32">
        <v>291</v>
      </c>
      <c r="L18" s="32" t="s">
        <v>72</v>
      </c>
      <c r="M18" s="33" t="s">
        <v>50</v>
      </c>
      <c r="N18" s="33"/>
      <c r="O18" s="34" t="s">
        <v>51</v>
      </c>
      <c r="P18" s="34" t="s">
        <v>52</v>
      </c>
    </row>
    <row r="19" spans="1:16" ht="12.75" customHeight="1" thickBot="1">
      <c r="A19" s="23" t="str">
        <f t="shared" si="0"/>
        <v> VSS 1.485 </v>
      </c>
      <c r="B19" s="5" t="str">
        <f t="shared" si="1"/>
        <v>I</v>
      </c>
      <c r="C19" s="23">
        <f t="shared" si="2"/>
        <v>29553.374</v>
      </c>
      <c r="D19" s="22" t="str">
        <f t="shared" si="3"/>
        <v>vis</v>
      </c>
      <c r="E19" s="31">
        <f>VLOOKUP(C19,Active!C$21:E$972,3,FALSE)</f>
        <v>-9246.0685276942859</v>
      </c>
      <c r="F19" s="5" t="s">
        <v>45</v>
      </c>
      <c r="G19" s="22" t="str">
        <f t="shared" si="4"/>
        <v>29553.374</v>
      </c>
      <c r="H19" s="23">
        <f t="shared" si="5"/>
        <v>317</v>
      </c>
      <c r="I19" s="32" t="s">
        <v>73</v>
      </c>
      <c r="J19" s="33" t="s">
        <v>74</v>
      </c>
      <c r="K19" s="32">
        <v>317</v>
      </c>
      <c r="L19" s="32" t="s">
        <v>72</v>
      </c>
      <c r="M19" s="33" t="s">
        <v>50</v>
      </c>
      <c r="N19" s="33"/>
      <c r="O19" s="34" t="s">
        <v>51</v>
      </c>
      <c r="P19" s="34" t="s">
        <v>52</v>
      </c>
    </row>
    <row r="20" spans="1:16" ht="12.75" customHeight="1" thickBot="1">
      <c r="A20" s="23" t="str">
        <f t="shared" si="0"/>
        <v> VSS 1.485 </v>
      </c>
      <c r="B20" s="5" t="str">
        <f t="shared" si="1"/>
        <v>I</v>
      </c>
      <c r="C20" s="23">
        <f t="shared" si="2"/>
        <v>29571.359</v>
      </c>
      <c r="D20" s="22" t="str">
        <f t="shared" si="3"/>
        <v>vis</v>
      </c>
      <c r="E20" s="31">
        <f>VLOOKUP(C20,Active!C$21:E$972,3,FALSE)</f>
        <v>-9240.0655537438888</v>
      </c>
      <c r="F20" s="5" t="s">
        <v>45</v>
      </c>
      <c r="G20" s="22" t="str">
        <f t="shared" si="4"/>
        <v>29571.359</v>
      </c>
      <c r="H20" s="23">
        <f t="shared" si="5"/>
        <v>329</v>
      </c>
      <c r="I20" s="32" t="s">
        <v>75</v>
      </c>
      <c r="J20" s="33" t="s">
        <v>76</v>
      </c>
      <c r="K20" s="32">
        <v>329</v>
      </c>
      <c r="L20" s="32" t="s">
        <v>77</v>
      </c>
      <c r="M20" s="33" t="s">
        <v>50</v>
      </c>
      <c r="N20" s="33"/>
      <c r="O20" s="34" t="s">
        <v>51</v>
      </c>
      <c r="P20" s="34" t="s">
        <v>52</v>
      </c>
    </row>
    <row r="21" spans="1:16" ht="12.75" customHeight="1" thickBot="1">
      <c r="A21" s="23" t="str">
        <f t="shared" si="0"/>
        <v> VSS 1.485 </v>
      </c>
      <c r="B21" s="5" t="str">
        <f t="shared" si="1"/>
        <v>I</v>
      </c>
      <c r="C21" s="23">
        <f t="shared" si="2"/>
        <v>31003.407999999999</v>
      </c>
      <c r="D21" s="22" t="str">
        <f t="shared" si="3"/>
        <v>vis</v>
      </c>
      <c r="E21" s="31">
        <f>VLOOKUP(C21,Active!C$21:E$972,3,FALSE)</f>
        <v>-8762.0809642141303</v>
      </c>
      <c r="F21" s="5" t="s">
        <v>45</v>
      </c>
      <c r="G21" s="22" t="str">
        <f t="shared" si="4"/>
        <v>31003.408</v>
      </c>
      <c r="H21" s="23">
        <f t="shared" si="5"/>
        <v>1285</v>
      </c>
      <c r="I21" s="32" t="s">
        <v>78</v>
      </c>
      <c r="J21" s="33" t="s">
        <v>79</v>
      </c>
      <c r="K21" s="32">
        <v>1285</v>
      </c>
      <c r="L21" s="32" t="s">
        <v>80</v>
      </c>
      <c r="M21" s="33" t="s">
        <v>50</v>
      </c>
      <c r="N21" s="33"/>
      <c r="O21" s="34" t="s">
        <v>51</v>
      </c>
      <c r="P21" s="34" t="s">
        <v>52</v>
      </c>
    </row>
    <row r="22" spans="1:16" ht="12.75" customHeight="1" thickBot="1">
      <c r="A22" s="23" t="str">
        <f t="shared" si="0"/>
        <v> VSS 1.485 </v>
      </c>
      <c r="B22" s="5" t="str">
        <f t="shared" si="1"/>
        <v>I</v>
      </c>
      <c r="C22" s="23">
        <f t="shared" si="2"/>
        <v>31030.418000000001</v>
      </c>
      <c r="D22" s="22" t="str">
        <f t="shared" si="3"/>
        <v>vis</v>
      </c>
      <c r="E22" s="31">
        <f>VLOOKUP(C22,Active!C$21:E$972,3,FALSE)</f>
        <v>-8753.0656555457826</v>
      </c>
      <c r="F22" s="5" t="s">
        <v>45</v>
      </c>
      <c r="G22" s="22" t="str">
        <f t="shared" si="4"/>
        <v>31030.418</v>
      </c>
      <c r="H22" s="23">
        <f t="shared" si="5"/>
        <v>1303</v>
      </c>
      <c r="I22" s="32" t="s">
        <v>81</v>
      </c>
      <c r="J22" s="33" t="s">
        <v>82</v>
      </c>
      <c r="K22" s="32">
        <v>1303</v>
      </c>
      <c r="L22" s="32" t="s">
        <v>83</v>
      </c>
      <c r="M22" s="33" t="s">
        <v>50</v>
      </c>
      <c r="N22" s="33"/>
      <c r="O22" s="34" t="s">
        <v>51</v>
      </c>
      <c r="P22" s="34" t="s">
        <v>52</v>
      </c>
    </row>
    <row r="23" spans="1:16" ht="12.75" customHeight="1" thickBot="1">
      <c r="A23" s="23" t="str">
        <f t="shared" si="0"/>
        <v> VSS 1.486 </v>
      </c>
      <c r="B23" s="5" t="str">
        <f t="shared" si="1"/>
        <v>I</v>
      </c>
      <c r="C23" s="23">
        <f t="shared" si="2"/>
        <v>32823.510999999999</v>
      </c>
      <c r="D23" s="22" t="str">
        <f t="shared" si="3"/>
        <v>vis</v>
      </c>
      <c r="E23" s="31">
        <f>VLOOKUP(C23,Active!C$21:E$972,3,FALSE)</f>
        <v>-8154.5729911232083</v>
      </c>
      <c r="F23" s="5" t="s">
        <v>45</v>
      </c>
      <c r="G23" s="22" t="str">
        <f t="shared" si="4"/>
        <v>32823.511</v>
      </c>
      <c r="H23" s="23">
        <f t="shared" si="5"/>
        <v>2500</v>
      </c>
      <c r="I23" s="32" t="s">
        <v>84</v>
      </c>
      <c r="J23" s="33" t="s">
        <v>85</v>
      </c>
      <c r="K23" s="32">
        <v>2500</v>
      </c>
      <c r="L23" s="32" t="s">
        <v>86</v>
      </c>
      <c r="M23" s="33" t="s">
        <v>87</v>
      </c>
      <c r="N23" s="33"/>
      <c r="O23" s="34" t="s">
        <v>51</v>
      </c>
      <c r="P23" s="34" t="s">
        <v>88</v>
      </c>
    </row>
    <row r="24" spans="1:16" ht="12.75" customHeight="1" thickBot="1">
      <c r="A24" s="23" t="str">
        <f t="shared" si="0"/>
        <v> VSS 1.486 </v>
      </c>
      <c r="B24" s="5" t="str">
        <f t="shared" si="1"/>
        <v>I</v>
      </c>
      <c r="C24" s="23">
        <f t="shared" si="2"/>
        <v>32835.491000000002</v>
      </c>
      <c r="D24" s="22" t="str">
        <f t="shared" si="3"/>
        <v>vis</v>
      </c>
      <c r="E24" s="31">
        <f>VLOOKUP(C24,Active!C$21:E$972,3,FALSE)</f>
        <v>-8150.5743462566097</v>
      </c>
      <c r="F24" s="5" t="s">
        <v>45</v>
      </c>
      <c r="G24" s="22" t="str">
        <f t="shared" si="4"/>
        <v>32835.491</v>
      </c>
      <c r="H24" s="23">
        <f t="shared" si="5"/>
        <v>2508</v>
      </c>
      <c r="I24" s="32" t="s">
        <v>89</v>
      </c>
      <c r="J24" s="33" t="s">
        <v>90</v>
      </c>
      <c r="K24" s="32">
        <v>2508</v>
      </c>
      <c r="L24" s="32" t="s">
        <v>91</v>
      </c>
      <c r="M24" s="33" t="s">
        <v>87</v>
      </c>
      <c r="N24" s="33"/>
      <c r="O24" s="34" t="s">
        <v>51</v>
      </c>
      <c r="P24" s="34" t="s">
        <v>88</v>
      </c>
    </row>
    <row r="25" spans="1:16">
      <c r="B25" s="5"/>
      <c r="F25" s="5"/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2024-01-31T04:17:55Z</dcterms:modified>
</cp:coreProperties>
</file>