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C4F142-DC76-48AA-83A5-7856E92F29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2" i="1" l="1"/>
  <c r="D9" i="1"/>
  <c r="C9" i="1"/>
  <c r="Q59" i="1"/>
  <c r="Q58" i="1"/>
  <c r="Q57" i="1"/>
  <c r="Q52" i="1"/>
  <c r="Q49" i="1"/>
  <c r="Q44" i="1"/>
  <c r="Q43" i="1"/>
  <c r="Q42" i="1"/>
  <c r="Q41" i="1"/>
  <c r="Q40" i="1"/>
  <c r="Q39" i="1"/>
  <c r="Q38" i="1"/>
  <c r="Q35" i="1"/>
  <c r="Q31" i="1"/>
  <c r="Q30" i="1"/>
  <c r="Q29" i="1"/>
  <c r="Q28" i="1"/>
  <c r="Q27" i="1"/>
  <c r="Q26" i="1"/>
  <c r="Q25" i="1"/>
  <c r="Q24" i="1"/>
  <c r="Q23" i="1"/>
  <c r="Q22" i="1"/>
  <c r="G29" i="2"/>
  <c r="C29" i="2"/>
  <c r="G53" i="2"/>
  <c r="C53" i="2"/>
  <c r="G28" i="2"/>
  <c r="C28" i="2"/>
  <c r="G27" i="2"/>
  <c r="C27" i="2"/>
  <c r="G52" i="2"/>
  <c r="C52" i="2"/>
  <c r="G51" i="2"/>
  <c r="C51" i="2"/>
  <c r="G50" i="2"/>
  <c r="C50" i="2"/>
  <c r="G26" i="2"/>
  <c r="C26" i="2"/>
  <c r="G25" i="2"/>
  <c r="C25" i="2"/>
  <c r="G24" i="2"/>
  <c r="C24" i="2"/>
  <c r="G23" i="2"/>
  <c r="C23" i="2"/>
  <c r="G49" i="2"/>
  <c r="C49" i="2"/>
  <c r="G22" i="2"/>
  <c r="C22" i="2"/>
  <c r="G21" i="2"/>
  <c r="C21" i="2"/>
  <c r="G48" i="2"/>
  <c r="C48" i="2"/>
  <c r="G20" i="2"/>
  <c r="C20" i="2"/>
  <c r="G19" i="2"/>
  <c r="C19" i="2"/>
  <c r="G18" i="2"/>
  <c r="C18" i="2"/>
  <c r="G17" i="2"/>
  <c r="C17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16" i="2"/>
  <c r="C16" i="2"/>
  <c r="G15" i="2"/>
  <c r="C15" i="2"/>
  <c r="G14" i="2"/>
  <c r="C14" i="2"/>
  <c r="G40" i="2"/>
  <c r="C40" i="2"/>
  <c r="G13" i="2"/>
  <c r="C13" i="2"/>
  <c r="G12" i="2"/>
  <c r="C12" i="2"/>
  <c r="G11" i="2"/>
  <c r="C11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H29" i="2"/>
  <c r="D29" i="2"/>
  <c r="B29" i="2"/>
  <c r="A29" i="2"/>
  <c r="H53" i="2"/>
  <c r="B53" i="2"/>
  <c r="D53" i="2"/>
  <c r="A53" i="2"/>
  <c r="H28" i="2"/>
  <c r="D28" i="2"/>
  <c r="B28" i="2"/>
  <c r="A28" i="2"/>
  <c r="H27" i="2"/>
  <c r="B27" i="2"/>
  <c r="D27" i="2"/>
  <c r="A27" i="2"/>
  <c r="H52" i="2"/>
  <c r="D52" i="2"/>
  <c r="B52" i="2"/>
  <c r="A52" i="2"/>
  <c r="H51" i="2"/>
  <c r="B51" i="2"/>
  <c r="D51" i="2"/>
  <c r="A51" i="2"/>
  <c r="H50" i="2"/>
  <c r="D50" i="2"/>
  <c r="B50" i="2"/>
  <c r="A50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49" i="2"/>
  <c r="B49" i="2"/>
  <c r="D49" i="2"/>
  <c r="A49" i="2"/>
  <c r="H22" i="2"/>
  <c r="D22" i="2"/>
  <c r="B22" i="2"/>
  <c r="A22" i="2"/>
  <c r="H21" i="2"/>
  <c r="B21" i="2"/>
  <c r="D21" i="2"/>
  <c r="A21" i="2"/>
  <c r="H48" i="2"/>
  <c r="D48" i="2"/>
  <c r="B48" i="2"/>
  <c r="A48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16" i="2"/>
  <c r="D16" i="2"/>
  <c r="B16" i="2"/>
  <c r="A16" i="2"/>
  <c r="H15" i="2"/>
  <c r="B15" i="2"/>
  <c r="D15" i="2"/>
  <c r="A15" i="2"/>
  <c r="H14" i="2"/>
  <c r="D14" i="2"/>
  <c r="B14" i="2"/>
  <c r="A14" i="2"/>
  <c r="H40" i="2"/>
  <c r="B40" i="2"/>
  <c r="D40" i="2"/>
  <c r="A40" i="2"/>
  <c r="H13" i="2"/>
  <c r="D13" i="2"/>
  <c r="B13" i="2"/>
  <c r="A13" i="2"/>
  <c r="H12" i="2"/>
  <c r="B12" i="2"/>
  <c r="D12" i="2"/>
  <c r="A12" i="2"/>
  <c r="H11" i="2"/>
  <c r="D11" i="2"/>
  <c r="B11" i="2"/>
  <c r="A11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Q60" i="1"/>
  <c r="Q61" i="1"/>
  <c r="Q63" i="1"/>
  <c r="Q55" i="1"/>
  <c r="Q56" i="1"/>
  <c r="Q53" i="1"/>
  <c r="F17" i="1"/>
  <c r="C17" i="1"/>
  <c r="Q54" i="1"/>
  <c r="Q32" i="1"/>
  <c r="Q33" i="1"/>
  <c r="Q34" i="1"/>
  <c r="Q36" i="1"/>
  <c r="Q37" i="1"/>
  <c r="Q45" i="1"/>
  <c r="Q46" i="1"/>
  <c r="Q47" i="1"/>
  <c r="Q48" i="1"/>
  <c r="Q50" i="1"/>
  <c r="Q51" i="1"/>
  <c r="C7" i="1"/>
  <c r="E27" i="1"/>
  <c r="F27" i="1"/>
  <c r="C8" i="1"/>
  <c r="Q21" i="1"/>
  <c r="E35" i="2"/>
  <c r="E29" i="2"/>
  <c r="E55" i="1"/>
  <c r="F55" i="1"/>
  <c r="E34" i="1"/>
  <c r="F34" i="1"/>
  <c r="G34" i="1"/>
  <c r="I34" i="1"/>
  <c r="E49" i="1"/>
  <c r="F49" i="1"/>
  <c r="E35" i="1"/>
  <c r="F35" i="1"/>
  <c r="E24" i="1"/>
  <c r="F24" i="1"/>
  <c r="E53" i="1"/>
  <c r="F53" i="1"/>
  <c r="E47" i="1"/>
  <c r="F47" i="1"/>
  <c r="E51" i="1"/>
  <c r="F51" i="1"/>
  <c r="E62" i="1"/>
  <c r="F62" i="1"/>
  <c r="E42" i="1"/>
  <c r="F42" i="1"/>
  <c r="E29" i="1"/>
  <c r="F29" i="1"/>
  <c r="G29" i="1"/>
  <c r="I29" i="1"/>
  <c r="E60" i="1"/>
  <c r="F60" i="1"/>
  <c r="G60" i="1"/>
  <c r="J60" i="1"/>
  <c r="E37" i="1"/>
  <c r="F37" i="1"/>
  <c r="G37" i="1"/>
  <c r="I37" i="1"/>
  <c r="E57" i="1"/>
  <c r="F57" i="1"/>
  <c r="G57" i="1"/>
  <c r="I57" i="1"/>
  <c r="E39" i="1"/>
  <c r="F39" i="1"/>
  <c r="G39" i="1"/>
  <c r="I39" i="1"/>
  <c r="G28" i="1"/>
  <c r="I28" i="1"/>
  <c r="E26" i="1"/>
  <c r="F26" i="1"/>
  <c r="G26" i="1"/>
  <c r="I26" i="1"/>
  <c r="E54" i="1"/>
  <c r="F54" i="1"/>
  <c r="G54" i="1"/>
  <c r="J54" i="1"/>
  <c r="E33" i="1"/>
  <c r="F33" i="1"/>
  <c r="G33" i="1"/>
  <c r="I33" i="1"/>
  <c r="E44" i="1"/>
  <c r="F44" i="1"/>
  <c r="G44" i="1"/>
  <c r="I44" i="1"/>
  <c r="E31" i="1"/>
  <c r="F31" i="1"/>
  <c r="G31" i="1"/>
  <c r="I31" i="1"/>
  <c r="E23" i="1"/>
  <c r="F23" i="1"/>
  <c r="G23" i="1"/>
  <c r="I23" i="1"/>
  <c r="E63" i="1"/>
  <c r="F63" i="1"/>
  <c r="G63" i="1"/>
  <c r="K63" i="1"/>
  <c r="E46" i="1"/>
  <c r="F46" i="1"/>
  <c r="G46" i="1"/>
  <c r="I46" i="1"/>
  <c r="G32" i="1"/>
  <c r="I32" i="1"/>
  <c r="E50" i="1"/>
  <c r="F50" i="1"/>
  <c r="G50" i="1"/>
  <c r="I50" i="1"/>
  <c r="E59" i="1"/>
  <c r="F59" i="1"/>
  <c r="G59" i="1"/>
  <c r="I59" i="1"/>
  <c r="E41" i="1"/>
  <c r="F41" i="1"/>
  <c r="G41" i="1"/>
  <c r="I41" i="1"/>
  <c r="E28" i="1"/>
  <c r="F28" i="1"/>
  <c r="G61" i="1"/>
  <c r="J61" i="1"/>
  <c r="E56" i="1"/>
  <c r="F56" i="1"/>
  <c r="G56" i="1"/>
  <c r="J56" i="1"/>
  <c r="E36" i="1"/>
  <c r="F36" i="1"/>
  <c r="G36" i="1"/>
  <c r="I36" i="1"/>
  <c r="G58" i="1"/>
  <c r="I58" i="1"/>
  <c r="E52" i="1"/>
  <c r="F52" i="1"/>
  <c r="G52" i="1"/>
  <c r="I52" i="1"/>
  <c r="E38" i="1"/>
  <c r="F38" i="1"/>
  <c r="G38" i="1"/>
  <c r="I38" i="1"/>
  <c r="G27" i="1"/>
  <c r="I27" i="1"/>
  <c r="E25" i="1"/>
  <c r="F25" i="1"/>
  <c r="G25" i="1"/>
  <c r="I25" i="1"/>
  <c r="E21" i="1"/>
  <c r="F21" i="1"/>
  <c r="G55" i="1"/>
  <c r="J55" i="1"/>
  <c r="E48" i="1"/>
  <c r="F48" i="1"/>
  <c r="G48" i="1"/>
  <c r="I48" i="1"/>
  <c r="E32" i="1"/>
  <c r="F32" i="1"/>
  <c r="G49" i="1"/>
  <c r="I49" i="1"/>
  <c r="E43" i="1"/>
  <c r="F43" i="1"/>
  <c r="G43" i="1"/>
  <c r="I43" i="1"/>
  <c r="G35" i="1"/>
  <c r="I35" i="1"/>
  <c r="E30" i="1"/>
  <c r="F30" i="1"/>
  <c r="G30" i="1"/>
  <c r="I30" i="1"/>
  <c r="G24" i="1"/>
  <c r="I24" i="1"/>
  <c r="E22" i="1"/>
  <c r="F22" i="1"/>
  <c r="G22" i="1"/>
  <c r="I22" i="1"/>
  <c r="G53" i="1"/>
  <c r="K53" i="1"/>
  <c r="E61" i="1"/>
  <c r="F61" i="1"/>
  <c r="G47" i="1"/>
  <c r="I47" i="1"/>
  <c r="E45" i="1"/>
  <c r="F45" i="1"/>
  <c r="G45" i="1"/>
  <c r="I45" i="1"/>
  <c r="G51" i="1"/>
  <c r="I51" i="1"/>
  <c r="G62" i="1"/>
  <c r="I62" i="1"/>
  <c r="E58" i="1"/>
  <c r="F58" i="1"/>
  <c r="G42" i="1"/>
  <c r="I42" i="1"/>
  <c r="E40" i="1"/>
  <c r="F40" i="1"/>
  <c r="G40" i="1"/>
  <c r="I40" i="1"/>
  <c r="E33" i="2"/>
  <c r="E50" i="2"/>
  <c r="E42" i="2"/>
  <c r="E27" i="2"/>
  <c r="E45" i="2"/>
  <c r="E17" i="2"/>
  <c r="E13" i="2"/>
  <c r="E25" i="2"/>
  <c r="E15" i="2"/>
  <c r="E22" i="2"/>
  <c r="E43" i="2"/>
  <c r="E30" i="2"/>
  <c r="E48" i="2"/>
  <c r="E11" i="2"/>
  <c r="E51" i="2"/>
  <c r="E18" i="2"/>
  <c r="E36" i="2"/>
  <c r="E28" i="2"/>
  <c r="E16" i="2"/>
  <c r="E34" i="2"/>
  <c r="E49" i="2"/>
  <c r="E40" i="2"/>
  <c r="E31" i="2"/>
  <c r="E26" i="2"/>
  <c r="E12" i="2"/>
  <c r="E23" i="2"/>
  <c r="E19" i="2"/>
  <c r="E37" i="2"/>
  <c r="E53" i="2"/>
  <c r="E46" i="2"/>
  <c r="E20" i="2"/>
  <c r="E44" i="2"/>
  <c r="E32" i="2"/>
  <c r="E21" i="2"/>
  <c r="E41" i="2"/>
  <c r="E52" i="2"/>
  <c r="E14" i="2"/>
  <c r="E38" i="2"/>
  <c r="E47" i="2"/>
  <c r="E24" i="2"/>
  <c r="E39" i="2"/>
  <c r="C11" i="1"/>
  <c r="C12" i="1"/>
  <c r="C16" i="1" l="1"/>
  <c r="D18" i="1" s="1"/>
  <c r="O38" i="1"/>
  <c r="O46" i="1"/>
  <c r="O45" i="1"/>
  <c r="O62" i="1"/>
  <c r="O26" i="1"/>
  <c r="O53" i="1"/>
  <c r="O29" i="1"/>
  <c r="O36" i="1"/>
  <c r="O59" i="1"/>
  <c r="O25" i="1"/>
  <c r="O58" i="1"/>
  <c r="O49" i="1"/>
  <c r="O42" i="1"/>
  <c r="O44" i="1"/>
  <c r="O41" i="1"/>
  <c r="O35" i="1"/>
  <c r="O61" i="1"/>
  <c r="O63" i="1"/>
  <c r="O43" i="1"/>
  <c r="O55" i="1"/>
  <c r="O54" i="1"/>
  <c r="O47" i="1"/>
  <c r="C15" i="1"/>
  <c r="O48" i="1"/>
  <c r="O50" i="1"/>
  <c r="O57" i="1"/>
  <c r="O27" i="1"/>
  <c r="O32" i="1"/>
  <c r="O30" i="1"/>
  <c r="O33" i="1"/>
  <c r="O37" i="1"/>
  <c r="O21" i="1"/>
  <c r="O22" i="1"/>
  <c r="O56" i="1"/>
  <c r="O24" i="1"/>
  <c r="O52" i="1"/>
  <c r="O60" i="1"/>
  <c r="O51" i="1"/>
  <c r="O34" i="1"/>
  <c r="O39" i="1"/>
  <c r="O40" i="1"/>
  <c r="O31" i="1"/>
  <c r="O28" i="1"/>
  <c r="O23" i="1"/>
  <c r="C18" i="1" l="1"/>
  <c r="F18" i="1"/>
  <c r="F19" i="1" s="1"/>
</calcChain>
</file>

<file path=xl/sharedStrings.xml><?xml version="1.0" encoding="utf-8"?>
<sst xmlns="http://schemas.openxmlformats.org/spreadsheetml/2006/main" count="495" uniqueCount="245">
  <si>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</si>
  <si>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</si>
  <si>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</si>
  <si>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</si>
  <si>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</si>
  <si>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</si>
  <si>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</si>
  <si>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</si>
  <si>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</si>
  <si>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</si>
  <si>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</si>
  <si>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</si>
  <si>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</si>
  <si>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</si>
  <si>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</si>
  <si>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</si>
  <si>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</si>
  <si>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</si>
  <si>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</si>
  <si>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</si>
  <si>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</si>
  <si>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</si>
  <si>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</si>
  <si>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</si>
  <si>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</si>
  <si>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</si>
  <si>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</si>
  <si>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</si>
  <si>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</si>
  <si>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Bull.68</t>
  </si>
  <si>
    <t>B</t>
  </si>
  <si>
    <t>BBSAG Bull.69</t>
  </si>
  <si>
    <t>BBSAG Bull.73</t>
  </si>
  <si>
    <t>BBSAG Bull.74</t>
  </si>
  <si>
    <t>BBSAG Bull.78</t>
  </si>
  <si>
    <t>BBSAG Bull.85</t>
  </si>
  <si>
    <t>BBSAG Bull.86</t>
  </si>
  <si>
    <t>BBSAG Bull.88</t>
  </si>
  <si>
    <t>BBSAG Bull.96</t>
  </si>
  <si>
    <t>BBSAG Bull.104</t>
  </si>
  <si>
    <t>BBSAG Bull.113</t>
  </si>
  <si>
    <t># of data points:</t>
  </si>
  <si>
    <t>EA/SD</t>
  </si>
  <si>
    <t>21 30 33.90 +50 07 32.8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</si>
  <si>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</si>
  <si>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</si>
  <si>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</si>
  <si>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</si>
  <si>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</si>
  <si>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</si>
  <si>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</si>
  <si>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</si>
  <si>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OEJV 0074</t>
  </si>
  <si>
    <t>CCD</t>
  </si>
  <si>
    <t>IBVS 5931</t>
  </si>
  <si>
    <t>IBVS 6042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</si>
  <si>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</si>
  <si>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</si>
  <si>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</si>
  <si>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</si>
  <si>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</si>
  <si>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</si>
  <si>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</si>
  <si>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</si>
  <si>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</si>
  <si>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</si>
  <si>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</si>
  <si>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2429135.411 </t>
  </si>
  <si>
    <t> 24.08.1938 21:51 </t>
  </si>
  <si>
    <t> 0.065 </t>
  </si>
  <si>
    <t>P </t>
  </si>
  <si>
    <t> E.Rohlfs </t>
  </si>
  <si>
    <t> VSS 1.486 </t>
  </si>
  <si>
    <t>2429216.267 </t>
  </si>
  <si>
    <t> 13.11.1938 18:24 </t>
  </si>
  <si>
    <t> -0.005 </t>
  </si>
  <si>
    <t>2429424.510 </t>
  </si>
  <si>
    <t> 10.06.1939 00:14 </t>
  </si>
  <si>
    <t> -0.047 </t>
  </si>
  <si>
    <t> VSS 1.487 </t>
  </si>
  <si>
    <t>2429456.473 </t>
  </si>
  <si>
    <t> 11.07.1939 23:21 </t>
  </si>
  <si>
    <t> 0.076 </t>
  </si>
  <si>
    <t>2429501.563 </t>
  </si>
  <si>
    <t> 26.08.1939 01:30 </t>
  </si>
  <si>
    <t> 0.060 </t>
  </si>
  <si>
    <t>2431076.277 </t>
  </si>
  <si>
    <t> 17.12.1943 18:38 </t>
  </si>
  <si>
    <t> 0.035 </t>
  </si>
  <si>
    <t>2432823.459 </t>
  </si>
  <si>
    <t> 28.09.1948 23:00 </t>
  </si>
  <si>
    <t> 0.012 </t>
  </si>
  <si>
    <t>V </t>
  </si>
  <si>
    <t> C.Hoffmeister </t>
  </si>
  <si>
    <t>2432827.409 </t>
  </si>
  <si>
    <t> 02.10.1948 21:48 </t>
  </si>
  <si>
    <t> -0.018 </t>
  </si>
  <si>
    <t>2432831.386 </t>
  </si>
  <si>
    <t> 06.10.1948 21:15 </t>
  </si>
  <si>
    <t> -0.021 </t>
  </si>
  <si>
    <t>2432835.399 </t>
  </si>
  <si>
    <t> 10.10.1948 21:34 </t>
  </si>
  <si>
    <t>2445564.470 </t>
  </si>
  <si>
    <t> 17.08.1983 23:16 </t>
  </si>
  <si>
    <t> -0.172 </t>
  </si>
  <si>
    <t> K.Locher </t>
  </si>
  <si>
    <t> BBS 68 </t>
  </si>
  <si>
    <t>2445641.410 </t>
  </si>
  <si>
    <t> 02.11.1983 21:50 </t>
  </si>
  <si>
    <t> -0.178 </t>
  </si>
  <si>
    <t> BBS 69 </t>
  </si>
  <si>
    <t>2445921.317 </t>
  </si>
  <si>
    <t> 08.08.1984 19:36 </t>
  </si>
  <si>
    <t> -0.195 </t>
  </si>
  <si>
    <t> BBS 73 </t>
  </si>
  <si>
    <t>2445994.292 </t>
  </si>
  <si>
    <t> 20.10.1984 19:00 </t>
  </si>
  <si>
    <t> -0.186 </t>
  </si>
  <si>
    <t> V.Wagner </t>
  </si>
  <si>
    <t> BRNO 27 </t>
  </si>
  <si>
    <t>2445994.293 </t>
  </si>
  <si>
    <t> 20.10.1984 19:01 </t>
  </si>
  <si>
    <t> -0.185 </t>
  </si>
  <si>
    <t> BBS 74 </t>
  </si>
  <si>
    <t>2446299.415 </t>
  </si>
  <si>
    <t> 21.08.1985 21:57 </t>
  </si>
  <si>
    <t> -0.193 </t>
  </si>
  <si>
    <t> BBS 78 </t>
  </si>
  <si>
    <t> A.Slatinsky </t>
  </si>
  <si>
    <t>2446299.424 </t>
  </si>
  <si>
    <t> 21.08.1985 22:10 </t>
  </si>
  <si>
    <t> -0.184 </t>
  </si>
  <si>
    <t> J.Borovicka </t>
  </si>
  <si>
    <t> M.Zejda </t>
  </si>
  <si>
    <t>2446299.428 </t>
  </si>
  <si>
    <t> 21.08.1985 22:16 </t>
  </si>
  <si>
    <t> -0.180 </t>
  </si>
  <si>
    <t> R.Pleskac </t>
  </si>
  <si>
    <t>2446299.430 </t>
  </si>
  <si>
    <t> 21.08.1985 22:19 </t>
  </si>
  <si>
    <t> P.Hajek </t>
  </si>
  <si>
    <t>2446299.433 </t>
  </si>
  <si>
    <t> 21.08.1985 22:23 </t>
  </si>
  <si>
    <t> -0.175 </t>
  </si>
  <si>
    <t> V.Bulant </t>
  </si>
  <si>
    <t>2446299.437 </t>
  </si>
  <si>
    <t> 21.08.1985 22:29 </t>
  </si>
  <si>
    <t> -0.171 </t>
  </si>
  <si>
    <t> P.Troubil </t>
  </si>
  <si>
    <t>2447014.475 </t>
  </si>
  <si>
    <t> 06.08.1987 23:24 </t>
  </si>
  <si>
    <t> -0.200 </t>
  </si>
  <si>
    <t> BRNO 30 </t>
  </si>
  <si>
    <t>2447030.394 </t>
  </si>
  <si>
    <t> 22.08.1987 21:27 </t>
  </si>
  <si>
    <t> -0.201 </t>
  </si>
  <si>
    <t> BBS 85 </t>
  </si>
  <si>
    <t>2447111.346 </t>
  </si>
  <si>
    <t> 11.11.1987 20:18 </t>
  </si>
  <si>
    <t> BBS 86 </t>
  </si>
  <si>
    <t>2447331.534 </t>
  </si>
  <si>
    <t> 19.06.1988 00:48 </t>
  </si>
  <si>
    <t> -0.212 </t>
  </si>
  <si>
    <t> BBS 88 </t>
  </si>
  <si>
    <t>2448119.571 </t>
  </si>
  <si>
    <t> 16.08.1990 01:42 </t>
  </si>
  <si>
    <t> -0.208 </t>
  </si>
  <si>
    <t> BBS 96 </t>
  </si>
  <si>
    <t>2448151.408 </t>
  </si>
  <si>
    <t> 16.09.1990 21:47 </t>
  </si>
  <si>
    <t> -0.211 </t>
  </si>
  <si>
    <t> BRNO 31 </t>
  </si>
  <si>
    <t>2449207.404 </t>
  </si>
  <si>
    <t> 07.08.1993 21:41 </t>
  </si>
  <si>
    <t> -0.232 </t>
  </si>
  <si>
    <t> BBS 104 </t>
  </si>
  <si>
    <t>2450312.475 </t>
  </si>
  <si>
    <t> 16.08.1996 23:24 </t>
  </si>
  <si>
    <t> -0.265 </t>
  </si>
  <si>
    <t> BBS 113 </t>
  </si>
  <si>
    <t>2452196.2978 </t>
  </si>
  <si>
    <t> 13.10.2001 19:08 </t>
  </si>
  <si>
    <t> -0.2921 </t>
  </si>
  <si>
    <t>E </t>
  </si>
  <si>
    <t>?</t>
  </si>
  <si>
    <t> R.Diethelm </t>
  </si>
  <si>
    <t> BBS 126 </t>
  </si>
  <si>
    <t>2452412.54100 </t>
  </si>
  <si>
    <t> 18.05.2002 00:59 </t>
  </si>
  <si>
    <t> -0.29363 </t>
  </si>
  <si>
    <t>C </t>
  </si>
  <si>
    <t>o</t>
  </si>
  <si>
    <t> P.Hájek </t>
  </si>
  <si>
    <t>OEJV 0074 </t>
  </si>
  <si>
    <t>2454018.4433 </t>
  </si>
  <si>
    <t> 09.10.2006 22:38 </t>
  </si>
  <si>
    <t> -0.3072 </t>
  </si>
  <si>
    <t>-I</t>
  </si>
  <si>
    <t> F. Agerer </t>
  </si>
  <si>
    <t>BAVM 183 </t>
  </si>
  <si>
    <t>2454093.3891 </t>
  </si>
  <si>
    <t> 23.12.2006 21:20 </t>
  </si>
  <si>
    <t>18813</t>
  </si>
  <si>
    <t> -0.3174 </t>
  </si>
  <si>
    <t> P.Zasche (ESA INTEGRAL) </t>
  </si>
  <si>
    <t>IBVS 5931 </t>
  </si>
  <si>
    <t>2454247.2789 </t>
  </si>
  <si>
    <t> 26.05.2007 18:41 </t>
  </si>
  <si>
    <t>18929</t>
  </si>
  <si>
    <t> -0.3196 </t>
  </si>
  <si>
    <t>2455064.4998 </t>
  </si>
  <si>
    <t> 20.08.2009 23:59 </t>
  </si>
  <si>
    <t>19545</t>
  </si>
  <si>
    <t> -0.3182 </t>
  </si>
  <si>
    <t> F.Agerer </t>
  </si>
  <si>
    <t>BAVM 212 </t>
  </si>
  <si>
    <t>2455074.4553 </t>
  </si>
  <si>
    <t> 30.08.2009 22:55 </t>
  </si>
  <si>
    <t>19552.5</t>
  </si>
  <si>
    <t> -0.3126 </t>
  </si>
  <si>
    <t>2455102.3088 </t>
  </si>
  <si>
    <t> 27.09.2009 19:24 </t>
  </si>
  <si>
    <t>19573.5</t>
  </si>
  <si>
    <t> -0.3188 </t>
  </si>
  <si>
    <t>2455397.4878 </t>
  </si>
  <si>
    <t> 19.07.2010 23:42 </t>
  </si>
  <si>
    <t>19796</t>
  </si>
  <si>
    <t> -0.3206 </t>
  </si>
  <si>
    <t>BAVM 215 </t>
  </si>
  <si>
    <t>2455460.5087 </t>
  </si>
  <si>
    <t> 21.09.2010 00:12 </t>
  </si>
  <si>
    <t>19843.5</t>
  </si>
  <si>
    <t> -0.3158 </t>
  </si>
  <si>
    <t>2455815.3787 </t>
  </si>
  <si>
    <t> 10.09.2011 21:05 </t>
  </si>
  <si>
    <t>20111</t>
  </si>
  <si>
    <t> -0.3260 </t>
  </si>
  <si>
    <t>BAVM 225 </t>
  </si>
  <si>
    <t>2456214.6951 </t>
  </si>
  <si>
    <t> 14.10.2012 04:40 </t>
  </si>
  <si>
    <t>20412</t>
  </si>
  <si>
    <t> -0.3328 </t>
  </si>
  <si>
    <t>IBVS 6042 </t>
  </si>
  <si>
    <t>II</t>
  </si>
  <si>
    <t>V0616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</si>
</sst>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9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2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3" borderId="12" xfId="0" applyFont="1" applyFill="1" applyBorder="1" applyAlignment="1">
      <alignment horizontal="left" vertical="top" wrapText="1" inden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right" vertical="top" wrapText="1"/>
    </xf>
    <xf numFmtId="0" fontId="18" fillId="3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V0616 Cyg - O-C Diagr.</a:t>
            </a:r>
          </a:p>
        </c:rich>
      </c:tx>
      <c:layout>
        <c:manualLayout>
          <c:xMode val="edge"/>
          <c:yMode val="edge"/>
          <c:x val="0.3460359524545836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69252958613219"/>
          <c:w val="0.784387328999303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EB-4461-A8C4-054C825B3A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6.4999999998690328E-2</c:v>
                </c:pt>
                <c:pt idx="2">
                  <c:v>-4.9550000003364403E-3</c:v>
                </c:pt>
                <c:pt idx="3">
                  <c:v>-4.679000000396627E-2</c:v>
                </c:pt>
                <c:pt idx="4">
                  <c:v>7.6489999999466818E-2</c:v>
                </c:pt>
                <c:pt idx="5">
                  <c:v>6.0219999995752005E-2</c:v>
                </c:pt>
                <c:pt idx="6">
                  <c:v>3.4734999997453997E-2</c:v>
                </c:pt>
                <c:pt idx="7">
                  <c:v>1.2099999999918509E-2</c:v>
                </c:pt>
                <c:pt idx="8">
                  <c:v>-1.7865000001620501E-2</c:v>
                </c:pt>
                <c:pt idx="9">
                  <c:v>-2.0830000001296867E-2</c:v>
                </c:pt>
                <c:pt idx="10">
                  <c:v>1.2204999999084976E-2</c:v>
                </c:pt>
                <c:pt idx="11">
                  <c:v>-0.17152000000351109</c:v>
                </c:pt>
                <c:pt idx="12">
                  <c:v>-0.17750999999407213</c:v>
                </c:pt>
                <c:pt idx="13">
                  <c:v>-0.19471499999781372</c:v>
                </c:pt>
                <c:pt idx="14">
                  <c:v>-0.18574000000080559</c:v>
                </c:pt>
                <c:pt idx="15">
                  <c:v>-0.18474000000423985</c:v>
                </c:pt>
                <c:pt idx="16">
                  <c:v>-0.19339000000036322</c:v>
                </c:pt>
                <c:pt idx="17">
                  <c:v>-0.18439000000216765</c:v>
                </c:pt>
                <c:pt idx="18">
                  <c:v>-0.18439000000216765</c:v>
                </c:pt>
                <c:pt idx="19">
                  <c:v>-0.18039000000135275</c:v>
                </c:pt>
                <c:pt idx="20">
                  <c:v>-0.17839000000094529</c:v>
                </c:pt>
                <c:pt idx="21">
                  <c:v>-0.17539000000397209</c:v>
                </c:pt>
                <c:pt idx="22">
                  <c:v>-0.17139000000315718</c:v>
                </c:pt>
                <c:pt idx="23">
                  <c:v>-0.20043499999883352</c:v>
                </c:pt>
                <c:pt idx="24">
                  <c:v>-0.20129499999893596</c:v>
                </c:pt>
                <c:pt idx="25">
                  <c:v>-0.17525000000750879</c:v>
                </c:pt>
                <c:pt idx="26">
                  <c:v>-0.21198000000003958</c:v>
                </c:pt>
                <c:pt idx="27">
                  <c:v>-0.20804999999381835</c:v>
                </c:pt>
                <c:pt idx="28">
                  <c:v>-0.21076999999786494</c:v>
                </c:pt>
                <c:pt idx="29">
                  <c:v>-0.23214999999618158</c:v>
                </c:pt>
                <c:pt idx="30">
                  <c:v>-0.26476499999989755</c:v>
                </c:pt>
                <c:pt idx="31">
                  <c:v>-0.29206500000145752</c:v>
                </c:pt>
                <c:pt idx="36">
                  <c:v>-0.3181750000003376</c:v>
                </c:pt>
                <c:pt idx="37">
                  <c:v>-0.31258749999688007</c:v>
                </c:pt>
                <c:pt idx="38">
                  <c:v>-0.31884249999711756</c:v>
                </c:pt>
                <c:pt idx="41">
                  <c:v>-0.32600499999534804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EB-4461-A8C4-054C825B3A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3">
                  <c:v>-0.30720750000182306</c:v>
                </c:pt>
                <c:pt idx="34">
                  <c:v>-0.31741499999770895</c:v>
                </c:pt>
                <c:pt idx="35">
                  <c:v>-0.31959500000084518</c:v>
                </c:pt>
                <c:pt idx="39">
                  <c:v>-0.32057999999960884</c:v>
                </c:pt>
                <c:pt idx="40">
                  <c:v>-0.31579250000504544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EB-4461-A8C4-054C825B3A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2">
                  <c:v>-0.29363000000012107</c:v>
                </c:pt>
                <c:pt idx="42">
                  <c:v>-0.33276000000478234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EB-4461-A8C4-054C825B3A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EB-4461-A8C4-054C825B3A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EB-4461-A8C4-054C825B3A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EB-4461-A8C4-054C825B3A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4.5150747323665669E-2</c:v>
                </c:pt>
                <c:pt idx="1">
                  <c:v>4.5150747323665669E-2</c:v>
                </c:pt>
                <c:pt idx="2">
                  <c:v>4.4030341856819796E-2</c:v>
                </c:pt>
                <c:pt idx="3">
                  <c:v>4.1146675327396805E-2</c:v>
                </c:pt>
                <c:pt idx="4">
                  <c:v>4.0705860061752523E-2</c:v>
                </c:pt>
                <c:pt idx="5">
                  <c:v>4.0081371768756459E-2</c:v>
                </c:pt>
                <c:pt idx="6">
                  <c:v>1.8279383422099834E-2</c:v>
                </c:pt>
                <c:pt idx="7">
                  <c:v>-5.9103542801299674E-3</c:v>
                </c:pt>
                <c:pt idx="8">
                  <c:v>-5.9654561883355078E-3</c:v>
                </c:pt>
                <c:pt idx="9">
                  <c:v>-6.0205580965410413E-3</c:v>
                </c:pt>
                <c:pt idx="10">
                  <c:v>-6.0756600047465747E-3</c:v>
                </c:pt>
                <c:pt idx="11">
                  <c:v>-0.18230992974878224</c:v>
                </c:pt>
                <c:pt idx="12">
                  <c:v>-0.18337523330742259</c:v>
                </c:pt>
                <c:pt idx="13">
                  <c:v>-0.18725073418454521</c:v>
                </c:pt>
                <c:pt idx="14">
                  <c:v>-0.18826093583498002</c:v>
                </c:pt>
                <c:pt idx="15">
                  <c:v>-0.18826093583498002</c:v>
                </c:pt>
                <c:pt idx="16">
                  <c:v>-0.19248541546407102</c:v>
                </c:pt>
                <c:pt idx="17">
                  <c:v>-0.19248541546407102</c:v>
                </c:pt>
                <c:pt idx="18">
                  <c:v>-0.19248541546407102</c:v>
                </c:pt>
                <c:pt idx="19">
                  <c:v>-0.19248541546407102</c:v>
                </c:pt>
                <c:pt idx="20">
                  <c:v>-0.19248541546407102</c:v>
                </c:pt>
                <c:pt idx="21">
                  <c:v>-0.19248541546407102</c:v>
                </c:pt>
                <c:pt idx="22">
                  <c:v>-0.19248541546407102</c:v>
                </c:pt>
                <c:pt idx="23">
                  <c:v>-0.20238539163833211</c:v>
                </c:pt>
                <c:pt idx="24">
                  <c:v>-0.20260579927115424</c:v>
                </c:pt>
                <c:pt idx="25">
                  <c:v>-0.20372620473800013</c:v>
                </c:pt>
                <c:pt idx="26">
                  <c:v>-0.20677517699203971</c:v>
                </c:pt>
                <c:pt idx="27">
                  <c:v>-0.21768535481673565</c:v>
                </c:pt>
                <c:pt idx="28">
                  <c:v>-0.21812617008237992</c:v>
                </c:pt>
                <c:pt idx="29">
                  <c:v>-0.23274654305958184</c:v>
                </c:pt>
                <c:pt idx="30">
                  <c:v>-0.24804650623798533</c:v>
                </c:pt>
                <c:pt idx="31">
                  <c:v>-0.27412807612193846</c:v>
                </c:pt>
                <c:pt idx="32">
                  <c:v>-0.27712194646777255</c:v>
                </c:pt>
                <c:pt idx="33">
                  <c:v>-0.29935556642870587</c:v>
                </c:pt>
                <c:pt idx="34">
                  <c:v>-0.3003933190332434</c:v>
                </c:pt>
                <c:pt idx="35">
                  <c:v>-0.30252392615052415</c:v>
                </c:pt>
                <c:pt idx="36">
                  <c:v>-0.31383818463539392</c:v>
                </c:pt>
                <c:pt idx="37">
                  <c:v>-0.31397593940590784</c:v>
                </c:pt>
                <c:pt idx="38">
                  <c:v>-0.31436165276334649</c:v>
                </c:pt>
                <c:pt idx="39">
                  <c:v>-0.31844837762192368</c:v>
                </c:pt>
                <c:pt idx="40">
                  <c:v>-0.31932082450184462</c:v>
                </c:pt>
                <c:pt idx="41">
                  <c:v>-0.3242340779835049</c:v>
                </c:pt>
                <c:pt idx="42">
                  <c:v>-0.32976263610679357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EB-4461-A8C4-054C825B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01728"/>
        <c:axId val="1"/>
      </c:scatterChart>
      <c:valAx>
        <c:axId val="88850172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8501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2770443657367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V0616 Cyg - O-C Diagr.</a:t>
            </a:r>
          </a:p>
        </c:rich>
      </c:tx>
      <c:layout>
        <c:manualLayout>
          <c:xMode val="edge"/>
          <c:yMode val="edge"/>
          <c:x val="0.34322820037105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723926380368099"/>
          <c:w val="0.7866419294990723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F9-4A63-A237-6BBE114541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6.4999999998690328E-2</c:v>
                </c:pt>
                <c:pt idx="2">
                  <c:v>-4.9550000003364403E-3</c:v>
                </c:pt>
                <c:pt idx="3">
                  <c:v>-4.679000000396627E-2</c:v>
                </c:pt>
                <c:pt idx="4">
                  <c:v>7.6489999999466818E-2</c:v>
                </c:pt>
                <c:pt idx="5">
                  <c:v>6.0219999995752005E-2</c:v>
                </c:pt>
                <c:pt idx="6">
                  <c:v>3.4734999997453997E-2</c:v>
                </c:pt>
                <c:pt idx="7">
                  <c:v>1.2099999999918509E-2</c:v>
                </c:pt>
                <c:pt idx="8">
                  <c:v>-1.7865000001620501E-2</c:v>
                </c:pt>
                <c:pt idx="9">
                  <c:v>-2.0830000001296867E-2</c:v>
                </c:pt>
                <c:pt idx="10">
                  <c:v>1.2204999999084976E-2</c:v>
                </c:pt>
                <c:pt idx="11">
                  <c:v>-0.17152000000351109</c:v>
                </c:pt>
                <c:pt idx="12">
                  <c:v>-0.17750999999407213</c:v>
                </c:pt>
                <c:pt idx="13">
                  <c:v>-0.19471499999781372</c:v>
                </c:pt>
                <c:pt idx="14">
                  <c:v>-0.18574000000080559</c:v>
                </c:pt>
                <c:pt idx="15">
                  <c:v>-0.18474000000423985</c:v>
                </c:pt>
                <c:pt idx="16">
                  <c:v>-0.19339000000036322</c:v>
                </c:pt>
                <c:pt idx="17">
                  <c:v>-0.18439000000216765</c:v>
                </c:pt>
                <c:pt idx="18">
                  <c:v>-0.18439000000216765</c:v>
                </c:pt>
                <c:pt idx="19">
                  <c:v>-0.18039000000135275</c:v>
                </c:pt>
                <c:pt idx="20">
                  <c:v>-0.17839000000094529</c:v>
                </c:pt>
                <c:pt idx="21">
                  <c:v>-0.17539000000397209</c:v>
                </c:pt>
                <c:pt idx="22">
                  <c:v>-0.17139000000315718</c:v>
                </c:pt>
                <c:pt idx="23">
                  <c:v>-0.20043499999883352</c:v>
                </c:pt>
                <c:pt idx="24">
                  <c:v>-0.20129499999893596</c:v>
                </c:pt>
                <c:pt idx="25">
                  <c:v>-0.17525000000750879</c:v>
                </c:pt>
                <c:pt idx="26">
                  <c:v>-0.21198000000003958</c:v>
                </c:pt>
                <c:pt idx="27">
                  <c:v>-0.20804999999381835</c:v>
                </c:pt>
                <c:pt idx="28">
                  <c:v>-0.21076999999786494</c:v>
                </c:pt>
                <c:pt idx="29">
                  <c:v>-0.23214999999618158</c:v>
                </c:pt>
                <c:pt idx="30">
                  <c:v>-0.26476499999989755</c:v>
                </c:pt>
                <c:pt idx="31">
                  <c:v>-0.29206500000145752</c:v>
                </c:pt>
                <c:pt idx="36">
                  <c:v>-0.3181750000003376</c:v>
                </c:pt>
                <c:pt idx="37">
                  <c:v>-0.31258749999688007</c:v>
                </c:pt>
                <c:pt idx="38">
                  <c:v>-0.31884249999711756</c:v>
                </c:pt>
                <c:pt idx="41">
                  <c:v>-0.32600499999534804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F9-4A63-A237-6BBE114541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3">
                  <c:v>-0.30720750000182306</c:v>
                </c:pt>
                <c:pt idx="34">
                  <c:v>-0.31741499999770895</c:v>
                </c:pt>
                <c:pt idx="35">
                  <c:v>-0.31959500000084518</c:v>
                </c:pt>
                <c:pt idx="39">
                  <c:v>-0.32057999999960884</c:v>
                </c:pt>
                <c:pt idx="40">
                  <c:v>-0.31579250000504544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F9-4A63-A237-6BBE114541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2">
                  <c:v>-0.29363000000012107</c:v>
                </c:pt>
                <c:pt idx="42">
                  <c:v>-0.33276000000478234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F9-4A63-A237-6BBE114541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F9-4A63-A237-6BBE114541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F9-4A63-A237-6BBE114541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4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8">
                    <c:v>0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3.5000000000000001E-3</c:v>
                  </c:pt>
                  <c:pt idx="34">
                    <c:v>4.5999999999999999E-3</c:v>
                  </c:pt>
                  <c:pt idx="35">
                    <c:v>1E-3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8.9999999999999998E-4</c:v>
                  </c:pt>
                  <c:pt idx="40">
                    <c:v>6.7999999999999996E-3</c:v>
                  </c:pt>
                  <c:pt idx="41">
                    <c:v>0</c:v>
                  </c:pt>
                  <c:pt idx="4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F9-4A63-A237-6BBE114541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61</c:v>
                </c:pt>
                <c:pt idx="3">
                  <c:v>218</c:v>
                </c:pt>
                <c:pt idx="4">
                  <c:v>242</c:v>
                </c:pt>
                <c:pt idx="5">
                  <c:v>276</c:v>
                </c:pt>
                <c:pt idx="6">
                  <c:v>1463</c:v>
                </c:pt>
                <c:pt idx="7">
                  <c:v>2780</c:v>
                </c:pt>
                <c:pt idx="8">
                  <c:v>2783</c:v>
                </c:pt>
                <c:pt idx="9">
                  <c:v>2786</c:v>
                </c:pt>
                <c:pt idx="10">
                  <c:v>2789</c:v>
                </c:pt>
                <c:pt idx="11">
                  <c:v>12384</c:v>
                </c:pt>
                <c:pt idx="12">
                  <c:v>12442</c:v>
                </c:pt>
                <c:pt idx="13">
                  <c:v>12653</c:v>
                </c:pt>
                <c:pt idx="14">
                  <c:v>12708</c:v>
                </c:pt>
                <c:pt idx="15">
                  <c:v>12708</c:v>
                </c:pt>
                <c:pt idx="16">
                  <c:v>12938</c:v>
                </c:pt>
                <c:pt idx="17">
                  <c:v>12938</c:v>
                </c:pt>
                <c:pt idx="18">
                  <c:v>12938</c:v>
                </c:pt>
                <c:pt idx="19">
                  <c:v>12938</c:v>
                </c:pt>
                <c:pt idx="20">
                  <c:v>12938</c:v>
                </c:pt>
                <c:pt idx="21">
                  <c:v>12938</c:v>
                </c:pt>
                <c:pt idx="22">
                  <c:v>12938</c:v>
                </c:pt>
                <c:pt idx="23">
                  <c:v>13477</c:v>
                </c:pt>
                <c:pt idx="24">
                  <c:v>13489</c:v>
                </c:pt>
                <c:pt idx="25">
                  <c:v>13550</c:v>
                </c:pt>
                <c:pt idx="26">
                  <c:v>13716</c:v>
                </c:pt>
                <c:pt idx="27">
                  <c:v>14310</c:v>
                </c:pt>
                <c:pt idx="28">
                  <c:v>14334</c:v>
                </c:pt>
                <c:pt idx="29">
                  <c:v>15130</c:v>
                </c:pt>
                <c:pt idx="30">
                  <c:v>15963</c:v>
                </c:pt>
                <c:pt idx="31">
                  <c:v>17383</c:v>
                </c:pt>
                <c:pt idx="32">
                  <c:v>17546</c:v>
                </c:pt>
                <c:pt idx="33">
                  <c:v>18756.5</c:v>
                </c:pt>
                <c:pt idx="34">
                  <c:v>18813</c:v>
                </c:pt>
                <c:pt idx="35">
                  <c:v>18929</c:v>
                </c:pt>
                <c:pt idx="36">
                  <c:v>19545</c:v>
                </c:pt>
                <c:pt idx="37">
                  <c:v>19552.5</c:v>
                </c:pt>
                <c:pt idx="38">
                  <c:v>19573.5</c:v>
                </c:pt>
                <c:pt idx="39">
                  <c:v>19796</c:v>
                </c:pt>
                <c:pt idx="40">
                  <c:v>19843.5</c:v>
                </c:pt>
                <c:pt idx="41">
                  <c:v>20111</c:v>
                </c:pt>
                <c:pt idx="42">
                  <c:v>20412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4.5150747323665669E-2</c:v>
                </c:pt>
                <c:pt idx="1">
                  <c:v>4.5150747323665669E-2</c:v>
                </c:pt>
                <c:pt idx="2">
                  <c:v>4.4030341856819796E-2</c:v>
                </c:pt>
                <c:pt idx="3">
                  <c:v>4.1146675327396805E-2</c:v>
                </c:pt>
                <c:pt idx="4">
                  <c:v>4.0705860061752523E-2</c:v>
                </c:pt>
                <c:pt idx="5">
                  <c:v>4.0081371768756459E-2</c:v>
                </c:pt>
                <c:pt idx="6">
                  <c:v>1.8279383422099834E-2</c:v>
                </c:pt>
                <c:pt idx="7">
                  <c:v>-5.9103542801299674E-3</c:v>
                </c:pt>
                <c:pt idx="8">
                  <c:v>-5.9654561883355078E-3</c:v>
                </c:pt>
                <c:pt idx="9">
                  <c:v>-6.0205580965410413E-3</c:v>
                </c:pt>
                <c:pt idx="10">
                  <c:v>-6.0756600047465747E-3</c:v>
                </c:pt>
                <c:pt idx="11">
                  <c:v>-0.18230992974878224</c:v>
                </c:pt>
                <c:pt idx="12">
                  <c:v>-0.18337523330742259</c:v>
                </c:pt>
                <c:pt idx="13">
                  <c:v>-0.18725073418454521</c:v>
                </c:pt>
                <c:pt idx="14">
                  <c:v>-0.18826093583498002</c:v>
                </c:pt>
                <c:pt idx="15">
                  <c:v>-0.18826093583498002</c:v>
                </c:pt>
                <c:pt idx="16">
                  <c:v>-0.19248541546407102</c:v>
                </c:pt>
                <c:pt idx="17">
                  <c:v>-0.19248541546407102</c:v>
                </c:pt>
                <c:pt idx="18">
                  <c:v>-0.19248541546407102</c:v>
                </c:pt>
                <c:pt idx="19">
                  <c:v>-0.19248541546407102</c:v>
                </c:pt>
                <c:pt idx="20">
                  <c:v>-0.19248541546407102</c:v>
                </c:pt>
                <c:pt idx="21">
                  <c:v>-0.19248541546407102</c:v>
                </c:pt>
                <c:pt idx="22">
                  <c:v>-0.19248541546407102</c:v>
                </c:pt>
                <c:pt idx="23">
                  <c:v>-0.20238539163833211</c:v>
                </c:pt>
                <c:pt idx="24">
                  <c:v>-0.20260579927115424</c:v>
                </c:pt>
                <c:pt idx="25">
                  <c:v>-0.20372620473800013</c:v>
                </c:pt>
                <c:pt idx="26">
                  <c:v>-0.20677517699203971</c:v>
                </c:pt>
                <c:pt idx="27">
                  <c:v>-0.21768535481673565</c:v>
                </c:pt>
                <c:pt idx="28">
                  <c:v>-0.21812617008237992</c:v>
                </c:pt>
                <c:pt idx="29">
                  <c:v>-0.23274654305958184</c:v>
                </c:pt>
                <c:pt idx="30">
                  <c:v>-0.24804650623798533</c:v>
                </c:pt>
                <c:pt idx="31">
                  <c:v>-0.27412807612193846</c:v>
                </c:pt>
                <c:pt idx="32">
                  <c:v>-0.27712194646777255</c:v>
                </c:pt>
                <c:pt idx="33">
                  <c:v>-0.29935556642870587</c:v>
                </c:pt>
                <c:pt idx="34">
                  <c:v>-0.3003933190332434</c:v>
                </c:pt>
                <c:pt idx="35">
                  <c:v>-0.30252392615052415</c:v>
                </c:pt>
                <c:pt idx="36">
                  <c:v>-0.31383818463539392</c:v>
                </c:pt>
                <c:pt idx="37">
                  <c:v>-0.31397593940590784</c:v>
                </c:pt>
                <c:pt idx="38">
                  <c:v>-0.31436165276334649</c:v>
                </c:pt>
                <c:pt idx="39">
                  <c:v>-0.31844837762192368</c:v>
                </c:pt>
                <c:pt idx="40">
                  <c:v>-0.31932082450184462</c:v>
                </c:pt>
                <c:pt idx="41">
                  <c:v>-0.3242340779835049</c:v>
                </c:pt>
                <c:pt idx="42">
                  <c:v>-0.32976263610679357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F9-4A63-A237-6BBE11454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875744"/>
        <c:axId val="1"/>
      </c:scatterChart>
      <c:valAx>
        <c:axId val="7288757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63821892393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875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97588126159554"/>
          <c:y val="0.92024539877300615"/>
          <c:w val="0.775510204081632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152400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B0D74C2-BAA0-4A0E-F365-43DF0C0A7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28575</xdr:rowOff>
    </xdr:from>
    <xdr:to>
      <xdr:col>27</xdr:col>
      <xdr:colOff>152400</xdr:colOff>
      <xdr:row>18</xdr:row>
      <xdr:rowOff>19050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3EF1A6-57AA-7039-C587-53A509BED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931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83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931" TargetMode="External"/><Relationship Id="rId9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3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8" sqref="F8: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58" t="s">
        <v>244</v>
      </c>
      <c r="C1" s="11" t="s">
        <v>43</v>
      </c>
    </row>
    <row r="2" spans="1:6">
      <c r="A2" t="s">
        <v>24</v>
      </c>
      <c r="B2" s="10" t="s">
        <v>42</v>
      </c>
    </row>
    <row r="4" spans="1:6" ht="14.25" thickTop="1" thickBot="1">
      <c r="A4" s="5" t="s">
        <v>0</v>
      </c>
      <c r="C4" s="2">
        <v>29135.346000000001</v>
      </c>
      <c r="D4" s="3">
        <v>1.3266549999999999</v>
      </c>
    </row>
    <row r="5" spans="1:6" ht="13.5" thickTop="1">
      <c r="A5" s="13" t="s">
        <v>44</v>
      </c>
      <c r="B5" s="14"/>
      <c r="C5" s="15">
        <v>-9.5</v>
      </c>
      <c r="D5" s="14" t="s">
        <v>45</v>
      </c>
    </row>
    <row r="6" spans="1:6">
      <c r="A6" s="5" t="s">
        <v>1</v>
      </c>
    </row>
    <row r="7" spans="1:6">
      <c r="A7" t="s">
        <v>2</v>
      </c>
      <c r="C7">
        <f>+C4</f>
        <v>29135.346000000001</v>
      </c>
    </row>
    <row r="8" spans="1:6">
      <c r="A8" t="s">
        <v>3</v>
      </c>
      <c r="C8">
        <f>+D4</f>
        <v>1.3266549999999999</v>
      </c>
    </row>
    <row r="9" spans="1:6">
      <c r="A9" s="29" t="s">
        <v>51</v>
      </c>
      <c r="B9" s="30">
        <v>21</v>
      </c>
      <c r="C9" s="28" t="str">
        <f>"F"&amp;B9</f>
        <v>F21</v>
      </c>
      <c r="D9" s="8" t="str">
        <f>"G"&amp;B9</f>
        <v>G21</v>
      </c>
    </row>
    <row r="10" spans="1:6" ht="13.5" thickBot="1">
      <c r="A10" s="14"/>
      <c r="B10" s="14"/>
      <c r="C10" s="4" t="s">
        <v>20</v>
      </c>
      <c r="D10" s="4" t="s">
        <v>21</v>
      </c>
      <c r="E10" s="14"/>
    </row>
    <row r="11" spans="1:6">
      <c r="A11" s="14" t="s">
        <v>16</v>
      </c>
      <c r="B11" s="14"/>
      <c r="C11" s="27">
        <f ca="1">INTERCEPT(INDIRECT($D$9):G992,INDIRECT($C$9):F992)</f>
        <v>4.5150747323665669E-2</v>
      </c>
      <c r="D11" s="16"/>
      <c r="E11" s="14"/>
    </row>
    <row r="12" spans="1:6">
      <c r="A12" s="14" t="s">
        <v>17</v>
      </c>
      <c r="B12" s="14"/>
      <c r="C12" s="27">
        <f ca="1">SLOPE(INDIRECT($D$9):G992,INDIRECT($C$9):F992)</f>
        <v>-1.8367302735178287E-5</v>
      </c>
      <c r="D12" s="16"/>
      <c r="E12" s="14"/>
    </row>
    <row r="13" spans="1:6">
      <c r="A13" s="14" t="s">
        <v>19</v>
      </c>
      <c r="B13" s="14"/>
      <c r="C13" s="16" t="s">
        <v>14</v>
      </c>
    </row>
    <row r="14" spans="1:6">
      <c r="A14" s="14"/>
      <c r="B14" s="14"/>
      <c r="C14" s="14"/>
    </row>
    <row r="15" spans="1:6">
      <c r="A15" s="17" t="s">
        <v>18</v>
      </c>
      <c r="B15" s="14"/>
      <c r="C15" s="18">
        <f ca="1">(C7+C11)+(C8+C12)*INT(MAX(F21:F3533))</f>
        <v>56214.698097363893</v>
      </c>
      <c r="E15" s="16"/>
      <c r="F15" s="14"/>
    </row>
    <row r="16" spans="1:6">
      <c r="A16" s="21" t="s">
        <v>4</v>
      </c>
      <c r="B16" s="14"/>
      <c r="C16" s="22">
        <f ca="1">+C8+C12</f>
        <v>1.3266366326972647</v>
      </c>
      <c r="E16" s="14"/>
      <c r="F16" s="14"/>
    </row>
    <row r="17" spans="1:31" ht="13.5" thickBot="1">
      <c r="A17" s="19" t="s">
        <v>41</v>
      </c>
      <c r="B17" s="14"/>
      <c r="C17" s="14">
        <f>COUNT(C21:C2191)</f>
        <v>43</v>
      </c>
      <c r="E17" s="19" t="s">
        <v>46</v>
      </c>
      <c r="F17" s="20">
        <f ca="1">TODAY()+15018.5-B5/24</f>
        <v>60340.5</v>
      </c>
    </row>
    <row r="18" spans="1:31" ht="14.25" thickTop="1" thickBot="1">
      <c r="A18" s="21" t="s">
        <v>5</v>
      </c>
      <c r="B18" s="14"/>
      <c r="C18" s="24">
        <f ca="1">+C15</f>
        <v>56214.698097363893</v>
      </c>
      <c r="D18" s="25">
        <f ca="1">+C16</f>
        <v>1.3266366326972647</v>
      </c>
      <c r="E18" s="19" t="s">
        <v>47</v>
      </c>
      <c r="F18" s="20">
        <f ca="1">ROUND(2*(F17-C15)/C16,0)/2+1</f>
        <v>3111</v>
      </c>
    </row>
    <row r="19" spans="1:31" ht="13.5" thickTop="1">
      <c r="E19" s="19" t="s">
        <v>48</v>
      </c>
      <c r="F19" s="23">
        <f ca="1">+C15+C16*F18-15018.5-C5/24</f>
        <v>45323.760495018418</v>
      </c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63</v>
      </c>
      <c r="I20" s="7" t="s">
        <v>66</v>
      </c>
      <c r="J20" s="7" t="s">
        <v>60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31">
      <c r="A21" t="s">
        <v>12</v>
      </c>
      <c r="C21" s="12">
        <v>29135.346000000001</v>
      </c>
      <c r="D21" s="12" t="s">
        <v>14</v>
      </c>
      <c r="E21">
        <f t="shared" ref="E21:E63" si="0">+(C21-C$7)/C$8</f>
        <v>0</v>
      </c>
      <c r="F21">
        <f t="shared" ref="F21:F62" si="1">ROUND(2*E21,0)/2</f>
        <v>0</v>
      </c>
      <c r="H21" s="8">
        <v>0</v>
      </c>
      <c r="O21">
        <f t="shared" ref="O21:O63" ca="1" si="2">+C$11+C$12*F21</f>
        <v>4.5150747323665669E-2</v>
      </c>
      <c r="Q21" s="1">
        <f t="shared" ref="Q21:Q63" si="3">+C21-15018.5</f>
        <v>14116.846000000001</v>
      </c>
    </row>
    <row r="22" spans="1:31">
      <c r="A22" s="56" t="s">
        <v>72</v>
      </c>
      <c r="B22" s="57" t="s">
        <v>50</v>
      </c>
      <c r="C22" s="56">
        <v>29135.411</v>
      </c>
      <c r="D22" s="56" t="s">
        <v>66</v>
      </c>
      <c r="E22">
        <f t="shared" si="0"/>
        <v>4.8995405737505479E-2</v>
      </c>
      <c r="F22">
        <f t="shared" si="1"/>
        <v>0</v>
      </c>
      <c r="G22">
        <f t="shared" ref="G22:G63" si="4">+C22-(C$7+F22*C$8)</f>
        <v>6.4999999998690328E-2</v>
      </c>
      <c r="I22">
        <f t="shared" ref="I22:I51" si="5">+G22</f>
        <v>6.4999999998690328E-2</v>
      </c>
      <c r="O22">
        <f t="shared" ca="1" si="2"/>
        <v>4.5150747323665669E-2</v>
      </c>
      <c r="Q22" s="1">
        <f t="shared" si="3"/>
        <v>14116.911</v>
      </c>
    </row>
    <row r="23" spans="1:31">
      <c r="A23" s="56" t="s">
        <v>72</v>
      </c>
      <c r="B23" s="57" t="s">
        <v>50</v>
      </c>
      <c r="C23" s="56">
        <v>29216.267</v>
      </c>
      <c r="D23" s="56" t="s">
        <v>66</v>
      </c>
      <c r="E23">
        <f t="shared" si="0"/>
        <v>60.996265042530624</v>
      </c>
      <c r="F23">
        <f t="shared" si="1"/>
        <v>61</v>
      </c>
      <c r="G23">
        <f t="shared" si="4"/>
        <v>-4.9550000003364403E-3</v>
      </c>
      <c r="I23">
        <f t="shared" si="5"/>
        <v>-4.9550000003364403E-3</v>
      </c>
      <c r="O23">
        <f t="shared" ca="1" si="2"/>
        <v>4.4030341856819796E-2</v>
      </c>
      <c r="Q23" s="1">
        <f t="shared" si="3"/>
        <v>14197.767</v>
      </c>
    </row>
    <row r="24" spans="1:31">
      <c r="A24" s="56" t="s">
        <v>79</v>
      </c>
      <c r="B24" s="57" t="s">
        <v>50</v>
      </c>
      <c r="C24" s="56">
        <v>29424.51</v>
      </c>
      <c r="D24" s="56" t="s">
        <v>66</v>
      </c>
      <c r="E24">
        <f t="shared" si="0"/>
        <v>217.96473084562078</v>
      </c>
      <c r="F24">
        <f t="shared" si="1"/>
        <v>218</v>
      </c>
      <c r="G24">
        <f t="shared" si="4"/>
        <v>-4.679000000396627E-2</v>
      </c>
      <c r="I24">
        <f t="shared" si="5"/>
        <v>-4.679000000396627E-2</v>
      </c>
      <c r="O24">
        <f t="shared" ca="1" si="2"/>
        <v>4.1146675327396805E-2</v>
      </c>
      <c r="Q24" s="1">
        <f t="shared" si="3"/>
        <v>14406.009999999998</v>
      </c>
    </row>
    <row r="25" spans="1:31">
      <c r="A25" s="56" t="s">
        <v>79</v>
      </c>
      <c r="B25" s="57" t="s">
        <v>50</v>
      </c>
      <c r="C25" s="56">
        <v>29456.473000000002</v>
      </c>
      <c r="D25" s="56" t="s">
        <v>66</v>
      </c>
      <c r="E25">
        <f t="shared" si="0"/>
        <v>242.05765628592243</v>
      </c>
      <c r="F25">
        <f t="shared" si="1"/>
        <v>242</v>
      </c>
      <c r="G25">
        <f t="shared" si="4"/>
        <v>7.6489999999466818E-2</v>
      </c>
      <c r="I25">
        <f t="shared" si="5"/>
        <v>7.6489999999466818E-2</v>
      </c>
      <c r="O25">
        <f t="shared" ca="1" si="2"/>
        <v>4.0705860061752523E-2</v>
      </c>
      <c r="Q25" s="1">
        <f t="shared" si="3"/>
        <v>14437.973000000002</v>
      </c>
    </row>
    <row r="26" spans="1:31">
      <c r="A26" s="56" t="s">
        <v>79</v>
      </c>
      <c r="B26" s="57" t="s">
        <v>50</v>
      </c>
      <c r="C26" s="56">
        <v>29501.562999999998</v>
      </c>
      <c r="D26" s="56" t="s">
        <v>66</v>
      </c>
      <c r="E26">
        <f t="shared" si="0"/>
        <v>276.04539235897573</v>
      </c>
      <c r="F26">
        <f t="shared" si="1"/>
        <v>276</v>
      </c>
      <c r="G26">
        <f t="shared" si="4"/>
        <v>6.0219999995752005E-2</v>
      </c>
      <c r="I26">
        <f t="shared" si="5"/>
        <v>6.0219999995752005E-2</v>
      </c>
      <c r="O26">
        <f t="shared" ca="1" si="2"/>
        <v>4.0081371768756459E-2</v>
      </c>
      <c r="Q26" s="1">
        <f t="shared" si="3"/>
        <v>14483.062999999998</v>
      </c>
    </row>
    <row r="27" spans="1:31">
      <c r="A27" s="56" t="s">
        <v>79</v>
      </c>
      <c r="B27" s="57" t="s">
        <v>50</v>
      </c>
      <c r="C27" s="56">
        <v>31076.276999999998</v>
      </c>
      <c r="D27" s="56" t="s">
        <v>66</v>
      </c>
      <c r="E27">
        <f t="shared" si="0"/>
        <v>1463.0261823910489</v>
      </c>
      <c r="F27">
        <f t="shared" si="1"/>
        <v>1463</v>
      </c>
      <c r="G27">
        <f t="shared" si="4"/>
        <v>3.4734999997453997E-2</v>
      </c>
      <c r="I27">
        <f t="shared" si="5"/>
        <v>3.4734999997453997E-2</v>
      </c>
      <c r="O27">
        <f t="shared" ca="1" si="2"/>
        <v>1.8279383422099834E-2</v>
      </c>
      <c r="Q27" s="1">
        <f t="shared" si="3"/>
        <v>16057.776999999998</v>
      </c>
    </row>
    <row r="28" spans="1:31">
      <c r="A28" s="56" t="s">
        <v>79</v>
      </c>
      <c r="B28" s="57" t="s">
        <v>50</v>
      </c>
      <c r="C28" s="56">
        <v>32823.459000000003</v>
      </c>
      <c r="D28" s="56" t="s">
        <v>66</v>
      </c>
      <c r="E28">
        <f t="shared" si="0"/>
        <v>2780.009120683223</v>
      </c>
      <c r="F28">
        <f t="shared" si="1"/>
        <v>2780</v>
      </c>
      <c r="G28">
        <f t="shared" si="4"/>
        <v>1.2099999999918509E-2</v>
      </c>
      <c r="I28">
        <f t="shared" si="5"/>
        <v>1.2099999999918509E-2</v>
      </c>
      <c r="O28">
        <f t="shared" ca="1" si="2"/>
        <v>-5.9103542801299674E-3</v>
      </c>
      <c r="Q28" s="1">
        <f t="shared" si="3"/>
        <v>17804.959000000003</v>
      </c>
    </row>
    <row r="29" spans="1:31">
      <c r="A29" s="56" t="s">
        <v>79</v>
      </c>
      <c r="B29" s="57" t="s">
        <v>50</v>
      </c>
      <c r="C29" s="56">
        <v>32827.409</v>
      </c>
      <c r="D29" s="56" t="s">
        <v>66</v>
      </c>
      <c r="E29">
        <f t="shared" si="0"/>
        <v>2782.9865338011755</v>
      </c>
      <c r="F29">
        <f t="shared" si="1"/>
        <v>2783</v>
      </c>
      <c r="G29">
        <f t="shared" si="4"/>
        <v>-1.7865000001620501E-2</v>
      </c>
      <c r="I29">
        <f t="shared" si="5"/>
        <v>-1.7865000001620501E-2</v>
      </c>
      <c r="O29">
        <f t="shared" ca="1" si="2"/>
        <v>-5.9654561883355078E-3</v>
      </c>
      <c r="Q29" s="1">
        <f t="shared" si="3"/>
        <v>17808.909</v>
      </c>
    </row>
    <row r="30" spans="1:31">
      <c r="A30" s="56" t="s">
        <v>79</v>
      </c>
      <c r="B30" s="57" t="s">
        <v>50</v>
      </c>
      <c r="C30" s="56">
        <v>32831.385999999999</v>
      </c>
      <c r="D30" s="56" t="s">
        <v>66</v>
      </c>
      <c r="E30">
        <f t="shared" si="0"/>
        <v>2785.9842988568976</v>
      </c>
      <c r="F30">
        <f t="shared" si="1"/>
        <v>2786</v>
      </c>
      <c r="G30">
        <f t="shared" si="4"/>
        <v>-2.0830000001296867E-2</v>
      </c>
      <c r="I30">
        <f t="shared" si="5"/>
        <v>-2.0830000001296867E-2</v>
      </c>
      <c r="O30">
        <f t="shared" ca="1" si="2"/>
        <v>-6.0205580965410413E-3</v>
      </c>
      <c r="Q30" s="1">
        <f t="shared" si="3"/>
        <v>17812.885999999999</v>
      </c>
    </row>
    <row r="31" spans="1:31">
      <c r="A31" s="56" t="s">
        <v>79</v>
      </c>
      <c r="B31" s="57" t="s">
        <v>50</v>
      </c>
      <c r="C31" s="56">
        <v>32835.398999999998</v>
      </c>
      <c r="D31" s="56" t="s">
        <v>66</v>
      </c>
      <c r="E31">
        <f t="shared" si="0"/>
        <v>2789.0091998296439</v>
      </c>
      <c r="F31">
        <f t="shared" si="1"/>
        <v>2789</v>
      </c>
      <c r="G31">
        <f t="shared" si="4"/>
        <v>1.2204999999084976E-2</v>
      </c>
      <c r="I31">
        <f t="shared" si="5"/>
        <v>1.2204999999084976E-2</v>
      </c>
      <c r="O31">
        <f t="shared" ca="1" si="2"/>
        <v>-6.0756600047465747E-3</v>
      </c>
      <c r="Q31" s="1">
        <f t="shared" si="3"/>
        <v>17816.898999999998</v>
      </c>
    </row>
    <row r="32" spans="1:31">
      <c r="A32" t="s">
        <v>29</v>
      </c>
      <c r="C32" s="12">
        <v>45564.47</v>
      </c>
      <c r="D32" s="12"/>
      <c r="E32">
        <f t="shared" si="0"/>
        <v>12383.870712430889</v>
      </c>
      <c r="F32">
        <f t="shared" si="1"/>
        <v>12384</v>
      </c>
      <c r="G32">
        <f t="shared" si="4"/>
        <v>-0.17152000000351109</v>
      </c>
      <c r="I32">
        <f t="shared" si="5"/>
        <v>-0.17152000000351109</v>
      </c>
      <c r="O32">
        <f t="shared" ca="1" si="2"/>
        <v>-0.18230992974878224</v>
      </c>
      <c r="Q32" s="1">
        <f t="shared" si="3"/>
        <v>30545.97</v>
      </c>
      <c r="AA32">
        <v>7</v>
      </c>
      <c r="AC32" t="s">
        <v>28</v>
      </c>
      <c r="AE32" t="s">
        <v>30</v>
      </c>
    </row>
    <row r="33" spans="1:31">
      <c r="A33" t="s">
        <v>31</v>
      </c>
      <c r="C33" s="12">
        <v>45641.41</v>
      </c>
      <c r="D33" s="12"/>
      <c r="E33">
        <f t="shared" si="0"/>
        <v>12441.866197315809</v>
      </c>
      <c r="F33">
        <f t="shared" si="1"/>
        <v>12442</v>
      </c>
      <c r="G33">
        <f t="shared" si="4"/>
        <v>-0.17750999999407213</v>
      </c>
      <c r="I33">
        <f t="shared" si="5"/>
        <v>-0.17750999999407213</v>
      </c>
      <c r="O33">
        <f t="shared" ca="1" si="2"/>
        <v>-0.18337523330742259</v>
      </c>
      <c r="Q33" s="1">
        <f t="shared" si="3"/>
        <v>30622.910000000003</v>
      </c>
      <c r="AA33">
        <v>7</v>
      </c>
      <c r="AC33" t="s">
        <v>28</v>
      </c>
      <c r="AE33" t="s">
        <v>30</v>
      </c>
    </row>
    <row r="34" spans="1:31">
      <c r="A34" t="s">
        <v>32</v>
      </c>
      <c r="C34" s="12">
        <v>45921.317000000003</v>
      </c>
      <c r="D34" s="12"/>
      <c r="E34">
        <f t="shared" si="0"/>
        <v>12652.853228608796</v>
      </c>
      <c r="F34">
        <f t="shared" si="1"/>
        <v>12653</v>
      </c>
      <c r="G34">
        <f t="shared" si="4"/>
        <v>-0.19471499999781372</v>
      </c>
      <c r="I34">
        <f t="shared" si="5"/>
        <v>-0.19471499999781372</v>
      </c>
      <c r="O34">
        <f t="shared" ca="1" si="2"/>
        <v>-0.18725073418454521</v>
      </c>
      <c r="Q34" s="1">
        <f t="shared" si="3"/>
        <v>30902.817000000003</v>
      </c>
      <c r="AA34">
        <v>6</v>
      </c>
      <c r="AC34" t="s">
        <v>28</v>
      </c>
      <c r="AE34" t="s">
        <v>30</v>
      </c>
    </row>
    <row r="35" spans="1:31">
      <c r="A35" s="56" t="s">
        <v>119</v>
      </c>
      <c r="B35" s="57" t="s">
        <v>50</v>
      </c>
      <c r="C35" s="56">
        <v>45994.292000000001</v>
      </c>
      <c r="D35" s="56" t="s">
        <v>66</v>
      </c>
      <c r="E35">
        <f t="shared" si="0"/>
        <v>12707.859993743665</v>
      </c>
      <c r="F35">
        <f t="shared" si="1"/>
        <v>12708</v>
      </c>
      <c r="G35">
        <f t="shared" si="4"/>
        <v>-0.18574000000080559</v>
      </c>
      <c r="I35">
        <f t="shared" si="5"/>
        <v>-0.18574000000080559</v>
      </c>
      <c r="O35">
        <f t="shared" ca="1" si="2"/>
        <v>-0.18826093583498002</v>
      </c>
      <c r="Q35" s="1">
        <f t="shared" si="3"/>
        <v>30975.792000000001</v>
      </c>
    </row>
    <row r="36" spans="1:31">
      <c r="A36" t="s">
        <v>33</v>
      </c>
      <c r="C36" s="12">
        <v>45994.292999999998</v>
      </c>
      <c r="D36" s="12"/>
      <c r="E36">
        <f t="shared" si="0"/>
        <v>12707.860747519135</v>
      </c>
      <c r="F36">
        <f t="shared" si="1"/>
        <v>12708</v>
      </c>
      <c r="G36">
        <f t="shared" si="4"/>
        <v>-0.18474000000423985</v>
      </c>
      <c r="I36">
        <f t="shared" si="5"/>
        <v>-0.18474000000423985</v>
      </c>
      <c r="O36">
        <f t="shared" ca="1" si="2"/>
        <v>-0.18826093583498002</v>
      </c>
      <c r="Q36" s="1">
        <f t="shared" si="3"/>
        <v>30975.792999999998</v>
      </c>
      <c r="AA36">
        <v>8</v>
      </c>
      <c r="AC36" t="s">
        <v>28</v>
      </c>
      <c r="AE36" t="s">
        <v>30</v>
      </c>
    </row>
    <row r="37" spans="1:31">
      <c r="A37" t="s">
        <v>34</v>
      </c>
      <c r="C37" s="12">
        <v>46299.415000000001</v>
      </c>
      <c r="D37" s="12"/>
      <c r="E37">
        <f t="shared" si="0"/>
        <v>12937.854227361297</v>
      </c>
      <c r="F37">
        <f t="shared" si="1"/>
        <v>12938</v>
      </c>
      <c r="G37">
        <f t="shared" si="4"/>
        <v>-0.19339000000036322</v>
      </c>
      <c r="I37">
        <f t="shared" si="5"/>
        <v>-0.19339000000036322</v>
      </c>
      <c r="O37">
        <f t="shared" ca="1" si="2"/>
        <v>-0.19248541546407102</v>
      </c>
      <c r="Q37" s="1">
        <f t="shared" si="3"/>
        <v>31280.915000000001</v>
      </c>
      <c r="AA37">
        <v>7</v>
      </c>
      <c r="AC37" t="s">
        <v>28</v>
      </c>
      <c r="AE37" t="s">
        <v>30</v>
      </c>
    </row>
    <row r="38" spans="1:31">
      <c r="A38" s="56" t="s">
        <v>119</v>
      </c>
      <c r="B38" s="57" t="s">
        <v>50</v>
      </c>
      <c r="C38" s="56">
        <v>46299.423999999999</v>
      </c>
      <c r="D38" s="56" t="s">
        <v>66</v>
      </c>
      <c r="E38">
        <f t="shared" si="0"/>
        <v>12937.86101134055</v>
      </c>
      <c r="F38">
        <f t="shared" si="1"/>
        <v>12938</v>
      </c>
      <c r="G38">
        <f t="shared" si="4"/>
        <v>-0.18439000000216765</v>
      </c>
      <c r="I38">
        <f t="shared" si="5"/>
        <v>-0.18439000000216765</v>
      </c>
      <c r="O38">
        <f t="shared" ca="1" si="2"/>
        <v>-0.19248541546407102</v>
      </c>
      <c r="Q38" s="1">
        <f t="shared" si="3"/>
        <v>31280.923999999999</v>
      </c>
    </row>
    <row r="39" spans="1:31">
      <c r="A39" s="56" t="s">
        <v>119</v>
      </c>
      <c r="B39" s="57" t="s">
        <v>50</v>
      </c>
      <c r="C39" s="56">
        <v>46299.423999999999</v>
      </c>
      <c r="D39" s="56" t="s">
        <v>66</v>
      </c>
      <c r="E39">
        <f t="shared" si="0"/>
        <v>12937.86101134055</v>
      </c>
      <c r="F39">
        <f t="shared" si="1"/>
        <v>12938</v>
      </c>
      <c r="G39">
        <f t="shared" si="4"/>
        <v>-0.18439000000216765</v>
      </c>
      <c r="I39">
        <f t="shared" si="5"/>
        <v>-0.18439000000216765</v>
      </c>
      <c r="O39">
        <f t="shared" ca="1" si="2"/>
        <v>-0.19248541546407102</v>
      </c>
      <c r="Q39" s="1">
        <f t="shared" si="3"/>
        <v>31280.923999999999</v>
      </c>
    </row>
    <row r="40" spans="1:31">
      <c r="A40" s="56" t="s">
        <v>119</v>
      </c>
      <c r="B40" s="57" t="s">
        <v>50</v>
      </c>
      <c r="C40" s="56">
        <v>46299.428</v>
      </c>
      <c r="D40" s="56" t="s">
        <v>66</v>
      </c>
      <c r="E40">
        <f t="shared" si="0"/>
        <v>12937.864026442443</v>
      </c>
      <c r="F40">
        <f t="shared" si="1"/>
        <v>12938</v>
      </c>
      <c r="G40">
        <f t="shared" si="4"/>
        <v>-0.18039000000135275</v>
      </c>
      <c r="I40">
        <f t="shared" si="5"/>
        <v>-0.18039000000135275</v>
      </c>
      <c r="O40">
        <f t="shared" ca="1" si="2"/>
        <v>-0.19248541546407102</v>
      </c>
      <c r="Q40" s="1">
        <f t="shared" si="3"/>
        <v>31280.928</v>
      </c>
    </row>
    <row r="41" spans="1:31">
      <c r="A41" s="56" t="s">
        <v>119</v>
      </c>
      <c r="B41" s="57" t="s">
        <v>50</v>
      </c>
      <c r="C41" s="56">
        <v>46299.43</v>
      </c>
      <c r="D41" s="56" t="s">
        <v>66</v>
      </c>
      <c r="E41">
        <f t="shared" si="0"/>
        <v>12937.86553399339</v>
      </c>
      <c r="F41">
        <f t="shared" si="1"/>
        <v>12938</v>
      </c>
      <c r="G41">
        <f t="shared" si="4"/>
        <v>-0.17839000000094529</v>
      </c>
      <c r="I41">
        <f t="shared" si="5"/>
        <v>-0.17839000000094529</v>
      </c>
      <c r="O41">
        <f t="shared" ca="1" si="2"/>
        <v>-0.19248541546407102</v>
      </c>
      <c r="Q41" s="1">
        <f t="shared" si="3"/>
        <v>31280.93</v>
      </c>
    </row>
    <row r="42" spans="1:31">
      <c r="A42" s="56" t="s">
        <v>119</v>
      </c>
      <c r="B42" s="57" t="s">
        <v>50</v>
      </c>
      <c r="C42" s="56">
        <v>46299.432999999997</v>
      </c>
      <c r="D42" s="56" t="s">
        <v>66</v>
      </c>
      <c r="E42">
        <f t="shared" si="0"/>
        <v>12937.867795319806</v>
      </c>
      <c r="F42">
        <f t="shared" si="1"/>
        <v>12938</v>
      </c>
      <c r="G42">
        <f t="shared" si="4"/>
        <v>-0.17539000000397209</v>
      </c>
      <c r="I42">
        <f t="shared" si="5"/>
        <v>-0.17539000000397209</v>
      </c>
      <c r="O42">
        <f t="shared" ca="1" si="2"/>
        <v>-0.19248541546407102</v>
      </c>
      <c r="Q42" s="1">
        <f t="shared" si="3"/>
        <v>31280.932999999997</v>
      </c>
    </row>
    <row r="43" spans="1:31">
      <c r="A43" s="56" t="s">
        <v>119</v>
      </c>
      <c r="B43" s="57" t="s">
        <v>50</v>
      </c>
      <c r="C43" s="56">
        <v>46299.436999999998</v>
      </c>
      <c r="D43" s="56" t="s">
        <v>66</v>
      </c>
      <c r="E43">
        <f t="shared" si="0"/>
        <v>12937.870810421698</v>
      </c>
      <c r="F43">
        <f t="shared" si="1"/>
        <v>12938</v>
      </c>
      <c r="G43">
        <f t="shared" si="4"/>
        <v>-0.17139000000315718</v>
      </c>
      <c r="I43">
        <f t="shared" si="5"/>
        <v>-0.17139000000315718</v>
      </c>
      <c r="O43">
        <f t="shared" ca="1" si="2"/>
        <v>-0.19248541546407102</v>
      </c>
      <c r="Q43" s="1">
        <f t="shared" si="3"/>
        <v>31280.936999999998</v>
      </c>
    </row>
    <row r="44" spans="1:31">
      <c r="A44" s="56" t="s">
        <v>152</v>
      </c>
      <c r="B44" s="57" t="s">
        <v>50</v>
      </c>
      <c r="C44" s="56">
        <v>47014.474999999999</v>
      </c>
      <c r="D44" s="56" t="s">
        <v>66</v>
      </c>
      <c r="E44">
        <f t="shared" si="0"/>
        <v>13476.848917013089</v>
      </c>
      <c r="F44">
        <f t="shared" si="1"/>
        <v>13477</v>
      </c>
      <c r="G44">
        <f t="shared" si="4"/>
        <v>-0.20043499999883352</v>
      </c>
      <c r="I44">
        <f t="shared" si="5"/>
        <v>-0.20043499999883352</v>
      </c>
      <c r="O44">
        <f t="shared" ca="1" si="2"/>
        <v>-0.20238539163833211</v>
      </c>
      <c r="Q44" s="1">
        <f t="shared" si="3"/>
        <v>31995.974999999999</v>
      </c>
    </row>
    <row r="45" spans="1:31">
      <c r="A45" t="s">
        <v>35</v>
      </c>
      <c r="C45" s="12">
        <v>47030.394</v>
      </c>
      <c r="D45" s="12"/>
      <c r="E45">
        <f t="shared" si="0"/>
        <v>13488.848268766182</v>
      </c>
      <c r="F45">
        <f t="shared" si="1"/>
        <v>13489</v>
      </c>
      <c r="G45">
        <f t="shared" si="4"/>
        <v>-0.20129499999893596</v>
      </c>
      <c r="I45">
        <f t="shared" si="5"/>
        <v>-0.20129499999893596</v>
      </c>
      <c r="O45">
        <f t="shared" ca="1" si="2"/>
        <v>-0.20260579927115424</v>
      </c>
      <c r="Q45" s="1">
        <f t="shared" si="3"/>
        <v>32011.894</v>
      </c>
      <c r="AA45">
        <v>6</v>
      </c>
      <c r="AC45" t="s">
        <v>28</v>
      </c>
      <c r="AE45" t="s">
        <v>30</v>
      </c>
    </row>
    <row r="46" spans="1:31">
      <c r="A46" t="s">
        <v>36</v>
      </c>
      <c r="C46" s="12">
        <v>47111.345999999998</v>
      </c>
      <c r="D46" s="12"/>
      <c r="E46">
        <f t="shared" si="0"/>
        <v>13549.867900848372</v>
      </c>
      <c r="F46">
        <f t="shared" si="1"/>
        <v>13550</v>
      </c>
      <c r="G46">
        <f t="shared" si="4"/>
        <v>-0.17525000000750879</v>
      </c>
      <c r="I46">
        <f t="shared" si="5"/>
        <v>-0.17525000000750879</v>
      </c>
      <c r="O46">
        <f t="shared" ca="1" si="2"/>
        <v>-0.20372620473800013</v>
      </c>
      <c r="Q46" s="1">
        <f t="shared" si="3"/>
        <v>32092.845999999998</v>
      </c>
      <c r="AA46">
        <v>5</v>
      </c>
      <c r="AC46" t="s">
        <v>28</v>
      </c>
      <c r="AE46" t="s">
        <v>30</v>
      </c>
    </row>
    <row r="47" spans="1:31">
      <c r="A47" t="s">
        <v>37</v>
      </c>
      <c r="C47" s="12">
        <v>47331.534</v>
      </c>
      <c r="D47" s="12"/>
      <c r="E47">
        <f t="shared" si="0"/>
        <v>13715.840214675254</v>
      </c>
      <c r="F47">
        <f t="shared" si="1"/>
        <v>13716</v>
      </c>
      <c r="G47">
        <f t="shared" si="4"/>
        <v>-0.21198000000003958</v>
      </c>
      <c r="I47">
        <f t="shared" si="5"/>
        <v>-0.21198000000003958</v>
      </c>
      <c r="O47">
        <f t="shared" ca="1" si="2"/>
        <v>-0.20677517699203971</v>
      </c>
      <c r="Q47" s="1">
        <f t="shared" si="3"/>
        <v>32313.034</v>
      </c>
      <c r="AA47">
        <v>6</v>
      </c>
      <c r="AC47" t="s">
        <v>28</v>
      </c>
      <c r="AE47" t="s">
        <v>30</v>
      </c>
    </row>
    <row r="48" spans="1:31">
      <c r="A48" t="s">
        <v>38</v>
      </c>
      <c r="C48" s="12">
        <v>48119.571000000004</v>
      </c>
      <c r="D48" s="12"/>
      <c r="E48">
        <f t="shared" si="0"/>
        <v>14309.843177012866</v>
      </c>
      <c r="F48">
        <f t="shared" si="1"/>
        <v>14310</v>
      </c>
      <c r="G48">
        <f t="shared" si="4"/>
        <v>-0.20804999999381835</v>
      </c>
      <c r="I48">
        <f t="shared" si="5"/>
        <v>-0.20804999999381835</v>
      </c>
      <c r="O48">
        <f t="shared" ca="1" si="2"/>
        <v>-0.21768535481673565</v>
      </c>
      <c r="Q48" s="1">
        <f t="shared" si="3"/>
        <v>33101.071000000004</v>
      </c>
      <c r="AA48">
        <v>6</v>
      </c>
      <c r="AC48" t="s">
        <v>28</v>
      </c>
      <c r="AE48" t="s">
        <v>30</v>
      </c>
    </row>
    <row r="49" spans="1:31">
      <c r="A49" s="56" t="s">
        <v>171</v>
      </c>
      <c r="B49" s="57" t="s">
        <v>50</v>
      </c>
      <c r="C49" s="56">
        <v>48151.408000000003</v>
      </c>
      <c r="D49" s="56" t="s">
        <v>66</v>
      </c>
      <c r="E49">
        <f t="shared" si="0"/>
        <v>14333.841126743579</v>
      </c>
      <c r="F49">
        <f t="shared" si="1"/>
        <v>14334</v>
      </c>
      <c r="G49">
        <f t="shared" si="4"/>
        <v>-0.21076999999786494</v>
      </c>
      <c r="I49">
        <f t="shared" si="5"/>
        <v>-0.21076999999786494</v>
      </c>
      <c r="O49">
        <f t="shared" ca="1" si="2"/>
        <v>-0.21812617008237992</v>
      </c>
      <c r="Q49" s="1">
        <f t="shared" si="3"/>
        <v>33132.908000000003</v>
      </c>
    </row>
    <row r="50" spans="1:31">
      <c r="A50" t="s">
        <v>39</v>
      </c>
      <c r="C50" s="12">
        <v>49207.404000000002</v>
      </c>
      <c r="D50" s="12">
        <v>6.0000000000000001E-3</v>
      </c>
      <c r="E50">
        <f t="shared" si="0"/>
        <v>15129.825011023968</v>
      </c>
      <c r="F50">
        <f t="shared" si="1"/>
        <v>15130</v>
      </c>
      <c r="G50">
        <f t="shared" si="4"/>
        <v>-0.23214999999618158</v>
      </c>
      <c r="I50">
        <f t="shared" si="5"/>
        <v>-0.23214999999618158</v>
      </c>
      <c r="O50">
        <f t="shared" ca="1" si="2"/>
        <v>-0.23274654305958184</v>
      </c>
      <c r="Q50" s="1">
        <f t="shared" si="3"/>
        <v>34188.904000000002</v>
      </c>
      <c r="AA50">
        <v>6</v>
      </c>
      <c r="AC50" t="s">
        <v>28</v>
      </c>
      <c r="AE50" t="s">
        <v>30</v>
      </c>
    </row>
    <row r="51" spans="1:31">
      <c r="A51" t="s">
        <v>40</v>
      </c>
      <c r="C51" s="12">
        <v>50312.474999999999</v>
      </c>
      <c r="D51" s="12">
        <v>5.0000000000000001E-3</v>
      </c>
      <c r="E51">
        <f t="shared" si="0"/>
        <v>15962.800426636917</v>
      </c>
      <c r="F51">
        <f t="shared" si="1"/>
        <v>15963</v>
      </c>
      <c r="G51">
        <f t="shared" si="4"/>
        <v>-0.26476499999989755</v>
      </c>
      <c r="I51">
        <f t="shared" si="5"/>
        <v>-0.26476499999989755</v>
      </c>
      <c r="O51">
        <f t="shared" ca="1" si="2"/>
        <v>-0.24804650623798533</v>
      </c>
      <c r="Q51" s="1">
        <f t="shared" si="3"/>
        <v>35293.974999999999</v>
      </c>
      <c r="AA51">
        <v>8</v>
      </c>
      <c r="AC51" t="s">
        <v>28</v>
      </c>
      <c r="AE51" t="s">
        <v>30</v>
      </c>
    </row>
    <row r="52" spans="1:31">
      <c r="A52" s="56" t="s">
        <v>186</v>
      </c>
      <c r="B52" s="57" t="s">
        <v>50</v>
      </c>
      <c r="C52" s="56">
        <v>52196.2978</v>
      </c>
      <c r="D52" s="56" t="s">
        <v>66</v>
      </c>
      <c r="E52">
        <f t="shared" si="0"/>
        <v>17382.779848566508</v>
      </c>
      <c r="F52">
        <f t="shared" si="1"/>
        <v>17383</v>
      </c>
      <c r="G52">
        <f t="shared" si="4"/>
        <v>-0.29206500000145752</v>
      </c>
      <c r="I52">
        <f>+G52</f>
        <v>-0.29206500000145752</v>
      </c>
      <c r="O52">
        <f t="shared" ca="1" si="2"/>
        <v>-0.27412807612193846</v>
      </c>
      <c r="Q52" s="1">
        <f t="shared" si="3"/>
        <v>37177.7978</v>
      </c>
    </row>
    <row r="53" spans="1:31">
      <c r="A53" s="31" t="s">
        <v>52</v>
      </c>
      <c r="B53" s="32" t="s">
        <v>50</v>
      </c>
      <c r="C53" s="31">
        <v>52412.540999999997</v>
      </c>
      <c r="D53" s="31" t="s">
        <v>53</v>
      </c>
      <c r="E53">
        <f t="shared" si="0"/>
        <v>17545.778668907889</v>
      </c>
      <c r="F53">
        <f t="shared" si="1"/>
        <v>17546</v>
      </c>
      <c r="G53">
        <f t="shared" si="4"/>
        <v>-0.29363000000012107</v>
      </c>
      <c r="K53">
        <f>+G53</f>
        <v>-0.29363000000012107</v>
      </c>
      <c r="O53">
        <f t="shared" ca="1" si="2"/>
        <v>-0.27712194646777255</v>
      </c>
      <c r="Q53" s="1">
        <f t="shared" si="3"/>
        <v>37394.040999999997</v>
      </c>
    </row>
    <row r="54" spans="1:31">
      <c r="A54" s="26" t="s">
        <v>49</v>
      </c>
      <c r="B54" s="33" t="s">
        <v>50</v>
      </c>
      <c r="C54" s="34">
        <v>54018.443299999999</v>
      </c>
      <c r="D54" s="34">
        <v>3.5000000000000001E-3</v>
      </c>
      <c r="E54">
        <f t="shared" si="0"/>
        <v>18756.268434521407</v>
      </c>
      <c r="F54">
        <f t="shared" si="1"/>
        <v>18756.5</v>
      </c>
      <c r="G54">
        <f t="shared" si="4"/>
        <v>-0.30720750000182306</v>
      </c>
      <c r="J54">
        <f>+G54</f>
        <v>-0.30720750000182306</v>
      </c>
      <c r="O54">
        <f t="shared" ca="1" si="2"/>
        <v>-0.29935556642870587</v>
      </c>
      <c r="Q54" s="1">
        <f t="shared" si="3"/>
        <v>38999.943299999999</v>
      </c>
    </row>
    <row r="55" spans="1:31">
      <c r="A55" s="35" t="s">
        <v>54</v>
      </c>
      <c r="B55" s="36" t="s">
        <v>50</v>
      </c>
      <c r="C55" s="35">
        <v>54093.3891</v>
      </c>
      <c r="D55" s="35">
        <v>4.5999999999999999E-3</v>
      </c>
      <c r="E55">
        <f t="shared" si="0"/>
        <v>18812.76074035827</v>
      </c>
      <c r="F55">
        <f t="shared" si="1"/>
        <v>18813</v>
      </c>
      <c r="G55">
        <f t="shared" si="4"/>
        <v>-0.31741499999770895</v>
      </c>
      <c r="J55">
        <f>+G55</f>
        <v>-0.31741499999770895</v>
      </c>
      <c r="O55">
        <f t="shared" ca="1" si="2"/>
        <v>-0.3003933190332434</v>
      </c>
      <c r="Q55" s="1">
        <f t="shared" si="3"/>
        <v>39074.8891</v>
      </c>
    </row>
    <row r="56" spans="1:31">
      <c r="A56" s="35" t="s">
        <v>54</v>
      </c>
      <c r="B56" s="36" t="s">
        <v>50</v>
      </c>
      <c r="C56" s="35">
        <v>54247.278899999998</v>
      </c>
      <c r="D56" s="35">
        <v>1E-3</v>
      </c>
      <c r="E56">
        <f t="shared" si="0"/>
        <v>18928.759097127739</v>
      </c>
      <c r="F56">
        <f t="shared" si="1"/>
        <v>18929</v>
      </c>
      <c r="G56">
        <f t="shared" si="4"/>
        <v>-0.31959500000084518</v>
      </c>
      <c r="J56">
        <f>+G56</f>
        <v>-0.31959500000084518</v>
      </c>
      <c r="O56">
        <f t="shared" ca="1" si="2"/>
        <v>-0.30252392615052415</v>
      </c>
      <c r="Q56" s="1">
        <f t="shared" si="3"/>
        <v>39228.778899999998</v>
      </c>
    </row>
    <row r="57" spans="1:31">
      <c r="A57" s="56" t="s">
        <v>215</v>
      </c>
      <c r="B57" s="57" t="s">
        <v>50</v>
      </c>
      <c r="C57" s="56">
        <v>55064.499799999998</v>
      </c>
      <c r="D57" s="56" t="s">
        <v>66</v>
      </c>
      <c r="E57">
        <f t="shared" si="0"/>
        <v>19544.760167488908</v>
      </c>
      <c r="F57">
        <f t="shared" si="1"/>
        <v>19545</v>
      </c>
      <c r="G57">
        <f t="shared" si="4"/>
        <v>-0.3181750000003376</v>
      </c>
      <c r="I57">
        <f>+G57</f>
        <v>-0.3181750000003376</v>
      </c>
      <c r="O57">
        <f t="shared" ca="1" si="2"/>
        <v>-0.31383818463539392</v>
      </c>
      <c r="Q57" s="1">
        <f t="shared" si="3"/>
        <v>40045.999799999998</v>
      </c>
    </row>
    <row r="58" spans="1:31">
      <c r="A58" s="56" t="s">
        <v>215</v>
      </c>
      <c r="B58" s="57" t="s">
        <v>243</v>
      </c>
      <c r="C58" s="56">
        <v>55074.455300000001</v>
      </c>
      <c r="D58" s="56" t="s">
        <v>66</v>
      </c>
      <c r="E58">
        <f t="shared" si="0"/>
        <v>19552.264379209366</v>
      </c>
      <c r="F58">
        <f t="shared" si="1"/>
        <v>19552.5</v>
      </c>
      <c r="G58">
        <f t="shared" si="4"/>
        <v>-0.31258749999688007</v>
      </c>
      <c r="I58">
        <f>+G58</f>
        <v>-0.31258749999688007</v>
      </c>
      <c r="O58">
        <f t="shared" ca="1" si="2"/>
        <v>-0.31397593940590784</v>
      </c>
      <c r="Q58" s="1">
        <f t="shared" si="3"/>
        <v>40055.955300000001</v>
      </c>
    </row>
    <row r="59" spans="1:31">
      <c r="A59" s="56" t="s">
        <v>215</v>
      </c>
      <c r="B59" s="57" t="s">
        <v>243</v>
      </c>
      <c r="C59" s="56">
        <v>55102.308799999999</v>
      </c>
      <c r="D59" s="56" t="s">
        <v>66</v>
      </c>
      <c r="E59">
        <f t="shared" si="0"/>
        <v>19573.259664343783</v>
      </c>
      <c r="F59">
        <f t="shared" si="1"/>
        <v>19573.5</v>
      </c>
      <c r="G59">
        <f t="shared" si="4"/>
        <v>-0.31884249999711756</v>
      </c>
      <c r="I59">
        <f>+G59</f>
        <v>-0.31884249999711756</v>
      </c>
      <c r="O59">
        <f t="shared" ca="1" si="2"/>
        <v>-0.31436165276334649</v>
      </c>
      <c r="Q59" s="1">
        <f t="shared" si="3"/>
        <v>40083.808799999999</v>
      </c>
    </row>
    <row r="60" spans="1:31">
      <c r="A60" s="41" t="s">
        <v>56</v>
      </c>
      <c r="B60" s="41"/>
      <c r="C60" s="42">
        <v>55397.487800000003</v>
      </c>
      <c r="D60" s="42">
        <v>8.9999999999999998E-4</v>
      </c>
      <c r="E60">
        <f t="shared" si="0"/>
        <v>19795.758354658901</v>
      </c>
      <c r="F60">
        <f t="shared" si="1"/>
        <v>19796</v>
      </c>
      <c r="G60">
        <f t="shared" si="4"/>
        <v>-0.32057999999960884</v>
      </c>
      <c r="J60">
        <f>+G60</f>
        <v>-0.32057999999960884</v>
      </c>
      <c r="O60">
        <f t="shared" ca="1" si="2"/>
        <v>-0.31844837762192368</v>
      </c>
      <c r="Q60" s="1">
        <f t="shared" si="3"/>
        <v>40378.987800000003</v>
      </c>
    </row>
    <row r="61" spans="1:31">
      <c r="A61" s="41" t="s">
        <v>56</v>
      </c>
      <c r="B61" s="41"/>
      <c r="C61" s="42">
        <v>55460.508699999998</v>
      </c>
      <c r="D61" s="42">
        <v>6.7999999999999996E-3</v>
      </c>
      <c r="E61">
        <f t="shared" si="0"/>
        <v>19843.261963358975</v>
      </c>
      <c r="F61">
        <f t="shared" si="1"/>
        <v>19843.5</v>
      </c>
      <c r="G61">
        <f t="shared" si="4"/>
        <v>-0.31579250000504544</v>
      </c>
      <c r="J61">
        <f>+G61</f>
        <v>-0.31579250000504544</v>
      </c>
      <c r="O61">
        <f t="shared" ca="1" si="2"/>
        <v>-0.31932082450184462</v>
      </c>
      <c r="Q61" s="1">
        <f t="shared" si="3"/>
        <v>40442.008699999998</v>
      </c>
    </row>
    <row r="62" spans="1:31">
      <c r="A62" s="56" t="s">
        <v>237</v>
      </c>
      <c r="B62" s="57" t="s">
        <v>50</v>
      </c>
      <c r="C62" s="56">
        <v>55815.378700000001</v>
      </c>
      <c r="D62" s="56" t="s">
        <v>66</v>
      </c>
      <c r="E62">
        <f t="shared" si="0"/>
        <v>20110.75426542696</v>
      </c>
      <c r="F62">
        <f t="shared" si="1"/>
        <v>20111</v>
      </c>
      <c r="G62">
        <f t="shared" si="4"/>
        <v>-0.32600499999534804</v>
      </c>
      <c r="I62">
        <f>+G62</f>
        <v>-0.32600499999534804</v>
      </c>
      <c r="O62">
        <f t="shared" ca="1" si="2"/>
        <v>-0.3242340779835049</v>
      </c>
      <c r="Q62" s="1">
        <f t="shared" si="3"/>
        <v>40796.878700000001</v>
      </c>
    </row>
    <row r="63" spans="1:31">
      <c r="A63" s="37" t="s">
        <v>55</v>
      </c>
      <c r="B63" s="38" t="s">
        <v>50</v>
      </c>
      <c r="C63" s="39">
        <v>56214.695099999997</v>
      </c>
      <c r="D63" s="39">
        <v>3.0000000000000003E-4</v>
      </c>
      <c r="E63">
        <f t="shared" si="0"/>
        <v>20411.749173673637</v>
      </c>
      <c r="F63" s="40">
        <f>ROUND(2*E63,0)/2+0.5</f>
        <v>20412</v>
      </c>
      <c r="G63">
        <f t="shared" si="4"/>
        <v>-0.33276000000478234</v>
      </c>
      <c r="K63">
        <f>+G63</f>
        <v>-0.33276000000478234</v>
      </c>
      <c r="O63">
        <f t="shared" ca="1" si="2"/>
        <v>-0.32976263610679357</v>
      </c>
      <c r="Q63" s="1">
        <f t="shared" si="3"/>
        <v>41196.195099999997</v>
      </c>
    </row>
    <row r="64" spans="1:31">
      <c r="B64" s="16"/>
      <c r="C64" s="9"/>
      <c r="D64" s="9"/>
    </row>
    <row r="65" spans="2:4">
      <c r="B65" s="16"/>
      <c r="C65" s="9"/>
      <c r="D65" s="9"/>
    </row>
    <row r="66" spans="2:4">
      <c r="B66" s="16"/>
      <c r="C66" s="9"/>
      <c r="D66" s="9"/>
    </row>
    <row r="67" spans="2:4">
      <c r="B67" s="16"/>
      <c r="C67" s="9"/>
      <c r="D67" s="9"/>
    </row>
    <row r="68" spans="2:4">
      <c r="B68" s="16"/>
      <c r="C68" s="9"/>
      <c r="D68" s="9"/>
    </row>
    <row r="69" spans="2:4">
      <c r="B69" s="16"/>
      <c r="C69" s="9"/>
      <c r="D69" s="9"/>
    </row>
    <row r="70" spans="2:4">
      <c r="B70" s="16"/>
      <c r="C70" s="9"/>
      <c r="D70" s="9"/>
    </row>
    <row r="71" spans="2:4">
      <c r="B71" s="16"/>
      <c r="C71" s="9"/>
      <c r="D71" s="9"/>
    </row>
    <row r="72" spans="2:4">
      <c r="B72" s="16"/>
      <c r="C72" s="9"/>
      <c r="D72" s="9"/>
    </row>
    <row r="73" spans="2:4">
      <c r="B73" s="16"/>
      <c r="C73" s="9"/>
      <c r="D73" s="9"/>
    </row>
    <row r="74" spans="2:4">
      <c r="B74" s="16"/>
      <c r="C74" s="9"/>
      <c r="D74" s="9"/>
    </row>
    <row r="75" spans="2:4">
      <c r="B75" s="16"/>
      <c r="C75" s="9"/>
      <c r="D75" s="9"/>
    </row>
    <row r="76" spans="2:4">
      <c r="B76" s="16"/>
      <c r="C76" s="9"/>
      <c r="D76" s="9"/>
    </row>
    <row r="77" spans="2:4">
      <c r="B77" s="16"/>
      <c r="C77" s="9"/>
      <c r="D77" s="9"/>
    </row>
    <row r="78" spans="2:4">
      <c r="B78" s="16"/>
      <c r="C78" s="9"/>
      <c r="D78" s="9"/>
    </row>
    <row r="79" spans="2:4">
      <c r="B79" s="16"/>
      <c r="C79" s="9"/>
      <c r="D79" s="9"/>
    </row>
    <row r="80" spans="2:4">
      <c r="B80" s="16"/>
      <c r="C80" s="9"/>
      <c r="D80" s="9"/>
    </row>
    <row r="81" spans="2:4">
      <c r="B81" s="16"/>
      <c r="C81" s="9"/>
      <c r="D81" s="9"/>
    </row>
    <row r="82" spans="2:4">
      <c r="B82" s="16"/>
      <c r="C82" s="9"/>
      <c r="D82" s="9"/>
    </row>
    <row r="83" spans="2:4">
      <c r="B83" s="16"/>
      <c r="C83" s="9"/>
      <c r="D83" s="9"/>
    </row>
    <row r="84" spans="2:4">
      <c r="B84" s="16"/>
      <c r="C84" s="9"/>
      <c r="D84" s="9"/>
    </row>
    <row r="85" spans="2:4">
      <c r="B85" s="16"/>
      <c r="C85" s="9"/>
      <c r="D85" s="9"/>
    </row>
    <row r="86" spans="2:4">
      <c r="B86" s="16"/>
      <c r="C86" s="9"/>
      <c r="D86" s="9"/>
    </row>
    <row r="87" spans="2:4">
      <c r="B87" s="16"/>
      <c r="C87" s="9"/>
      <c r="D87" s="9"/>
    </row>
    <row r="88" spans="2:4">
      <c r="B88" s="16"/>
      <c r="C88" s="9"/>
      <c r="D88" s="9"/>
    </row>
    <row r="89" spans="2:4">
      <c r="B89" s="16"/>
      <c r="C89" s="9"/>
      <c r="D89" s="9"/>
    </row>
    <row r="90" spans="2:4">
      <c r="B90" s="16"/>
      <c r="C90" s="9"/>
      <c r="D90" s="9"/>
    </row>
    <row r="91" spans="2:4">
      <c r="B91" s="16"/>
      <c r="C91" s="9"/>
      <c r="D91" s="9"/>
    </row>
    <row r="92" spans="2:4">
      <c r="B92" s="16"/>
      <c r="C92" s="9"/>
      <c r="D92" s="9"/>
    </row>
    <row r="93" spans="2:4">
      <c r="B93" s="16"/>
      <c r="C93" s="9"/>
      <c r="D93" s="9"/>
    </row>
    <row r="94" spans="2:4">
      <c r="B94" s="16"/>
      <c r="C94" s="9"/>
      <c r="D94" s="9"/>
    </row>
    <row r="95" spans="2:4">
      <c r="B95" s="16"/>
      <c r="C95" s="9"/>
      <c r="D95" s="9"/>
    </row>
    <row r="96" spans="2:4">
      <c r="B96" s="16"/>
      <c r="C96" s="9"/>
      <c r="D96" s="9"/>
    </row>
    <row r="97" spans="2:4">
      <c r="B97" s="16"/>
      <c r="C97" s="9"/>
      <c r="D97" s="9"/>
    </row>
    <row r="98" spans="2:4">
      <c r="B98" s="16"/>
      <c r="C98" s="9"/>
      <c r="D98" s="9"/>
    </row>
    <row r="99" spans="2:4">
      <c r="B99" s="16"/>
      <c r="C99" s="9"/>
      <c r="D99" s="9"/>
    </row>
    <row r="100" spans="2:4">
      <c r="B100" s="16"/>
      <c r="C100" s="9"/>
      <c r="D100" s="9"/>
    </row>
    <row r="101" spans="2:4">
      <c r="B101" s="16"/>
      <c r="C101" s="9"/>
      <c r="D101" s="9"/>
    </row>
    <row r="102" spans="2:4">
      <c r="B102" s="16"/>
      <c r="C102" s="9"/>
      <c r="D102" s="9"/>
    </row>
    <row r="103" spans="2:4">
      <c r="B103" s="16"/>
      <c r="C103" s="9"/>
      <c r="D103" s="9"/>
    </row>
    <row r="104" spans="2:4">
      <c r="B104" s="16"/>
      <c r="C104" s="9"/>
      <c r="D104" s="9"/>
    </row>
    <row r="105" spans="2:4">
      <c r="B105" s="16"/>
      <c r="C105" s="9"/>
      <c r="D105" s="9"/>
    </row>
    <row r="106" spans="2:4">
      <c r="B106" s="16"/>
      <c r="C106" s="9"/>
      <c r="D106" s="9"/>
    </row>
    <row r="107" spans="2:4">
      <c r="B107" s="16"/>
      <c r="C107" s="9"/>
      <c r="D107" s="9"/>
    </row>
    <row r="108" spans="2:4">
      <c r="B108" s="16"/>
      <c r="C108" s="9"/>
      <c r="D108" s="9"/>
    </row>
    <row r="109" spans="2:4">
      <c r="B109" s="16"/>
      <c r="C109" s="9"/>
      <c r="D109" s="9"/>
    </row>
    <row r="110" spans="2:4">
      <c r="B110" s="16"/>
      <c r="C110" s="9"/>
      <c r="D110" s="9"/>
    </row>
    <row r="111" spans="2:4">
      <c r="B111" s="16"/>
      <c r="C111" s="9"/>
      <c r="D111" s="9"/>
    </row>
    <row r="112" spans="2:4">
      <c r="B112" s="16"/>
      <c r="C112" s="9"/>
      <c r="D112" s="9"/>
    </row>
    <row r="113" spans="2:4">
      <c r="B113" s="16"/>
      <c r="C113" s="9"/>
      <c r="D113" s="9"/>
    </row>
    <row r="114" spans="2:4">
      <c r="B114" s="16"/>
      <c r="C114" s="9"/>
      <c r="D114" s="9"/>
    </row>
    <row r="115" spans="2:4">
      <c r="B115" s="16"/>
      <c r="C115" s="9"/>
      <c r="D115" s="9"/>
    </row>
    <row r="116" spans="2:4">
      <c r="B116" s="16"/>
      <c r="C116" s="9"/>
      <c r="D116" s="9"/>
    </row>
    <row r="117" spans="2:4">
      <c r="B117" s="16"/>
      <c r="C117" s="9"/>
      <c r="D117" s="9"/>
    </row>
    <row r="118" spans="2:4">
      <c r="B118" s="16"/>
      <c r="C118" s="9"/>
      <c r="D118" s="9"/>
    </row>
    <row r="119" spans="2:4">
      <c r="B119" s="16"/>
      <c r="C119" s="9"/>
      <c r="D119" s="9"/>
    </row>
    <row r="120" spans="2:4">
      <c r="C120" s="9"/>
      <c r="D120" s="9"/>
    </row>
    <row r="121" spans="2:4">
      <c r="C121" s="9"/>
      <c r="D121" s="9"/>
    </row>
    <row r="122" spans="2:4">
      <c r="C122" s="9"/>
      <c r="D122" s="9"/>
    </row>
    <row r="123" spans="2:4">
      <c r="C123" s="9"/>
      <c r="D123" s="9"/>
    </row>
    <row r="124" spans="2:4">
      <c r="C124" s="9"/>
      <c r="D124" s="9"/>
    </row>
    <row r="125" spans="2:4">
      <c r="C125" s="9"/>
      <c r="D125" s="9"/>
    </row>
    <row r="126" spans="2:4">
      <c r="C126" s="9"/>
      <c r="D126" s="9"/>
    </row>
    <row r="127" spans="2:4">
      <c r="C127" s="9"/>
      <c r="D127" s="9"/>
    </row>
    <row r="128" spans="2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topLeftCell="A6" workbookViewId="0">
      <selection activeCell="A30" sqref="A30:D53"/>
    </sheetView>
  </sheetViews>
  <sheetFormatPr defaultRowHeight="12.75"/>
  <cols>
    <col min="1" max="1" width="19.7109375" style="9" customWidth="1"/>
    <col min="2" max="2" width="4.42578125" style="14" customWidth="1"/>
    <col min="3" max="3" width="12.7109375" style="9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9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43" t="s">
        <v>57</v>
      </c>
      <c r="I1" s="44" t="s">
        <v>58</v>
      </c>
      <c r="J1" s="45" t="s">
        <v>53</v>
      </c>
    </row>
    <row r="2" spans="1:16">
      <c r="I2" s="46" t="s">
        <v>59</v>
      </c>
      <c r="J2" s="47" t="s">
        <v>60</v>
      </c>
    </row>
    <row r="3" spans="1:16">
      <c r="A3" s="48" t="s">
        <v>61</v>
      </c>
      <c r="I3" s="46" t="s">
        <v>62</v>
      </c>
      <c r="J3" s="47" t="s">
        <v>63</v>
      </c>
    </row>
    <row r="4" spans="1:16">
      <c r="I4" s="46" t="s">
        <v>64</v>
      </c>
      <c r="J4" s="47" t="s">
        <v>63</v>
      </c>
    </row>
    <row r="5" spans="1:16" ht="13.5" thickBot="1">
      <c r="I5" s="49" t="s">
        <v>65</v>
      </c>
      <c r="J5" s="50" t="s">
        <v>66</v>
      </c>
    </row>
    <row r="10" spans="1:16" ht="13.5" thickBot="1"/>
    <row r="11" spans="1:16" ht="12.75" customHeight="1" thickBot="1">
      <c r="A11" s="9" t="str">
        <f t="shared" ref="A11:A53" si="0">P11</f>
        <v> BBS 68 </v>
      </c>
      <c r="B11" s="16" t="str">
        <f t="shared" ref="B11:B53" si="1">IF(H11=INT(H11),"I","II")</f>
        <v>I</v>
      </c>
      <c r="C11" s="9">
        <f t="shared" ref="C11:C53" si="2">1*G11</f>
        <v>45564.47</v>
      </c>
      <c r="D11" s="14" t="str">
        <f t="shared" ref="D11:D53" si="3">VLOOKUP(F11,I$1:J$5,2,FALSE)</f>
        <v>vis</v>
      </c>
      <c r="E11" s="51">
        <f>VLOOKUP(C11,Active!C$21:E$973,3,FALSE)</f>
        <v>12383.870712430889</v>
      </c>
      <c r="F11" s="16" t="s">
        <v>65</v>
      </c>
      <c r="G11" s="14" t="str">
        <f t="shared" ref="G11:G53" si="4">MID(I11,3,LEN(I11)-3)</f>
        <v>45564.470</v>
      </c>
      <c r="H11" s="9">
        <f t="shared" ref="H11:H53" si="5">1*K11</f>
        <v>12384</v>
      </c>
      <c r="I11" s="52" t="s">
        <v>102</v>
      </c>
      <c r="J11" s="53" t="s">
        <v>103</v>
      </c>
      <c r="K11" s="52">
        <v>12384</v>
      </c>
      <c r="L11" s="52" t="s">
        <v>104</v>
      </c>
      <c r="M11" s="53" t="s">
        <v>92</v>
      </c>
      <c r="N11" s="53"/>
      <c r="O11" s="54" t="s">
        <v>105</v>
      </c>
      <c r="P11" s="54" t="s">
        <v>106</v>
      </c>
    </row>
    <row r="12" spans="1:16" ht="12.75" customHeight="1" thickBot="1">
      <c r="A12" s="9" t="str">
        <f t="shared" si="0"/>
        <v> BBS 69 </v>
      </c>
      <c r="B12" s="16" t="str">
        <f t="shared" si="1"/>
        <v>I</v>
      </c>
      <c r="C12" s="9">
        <f t="shared" si="2"/>
        <v>45641.41</v>
      </c>
      <c r="D12" s="14" t="str">
        <f t="shared" si="3"/>
        <v>vis</v>
      </c>
      <c r="E12" s="51">
        <f>VLOOKUP(C12,Active!C$21:E$973,3,FALSE)</f>
        <v>12441.866197315809</v>
      </c>
      <c r="F12" s="16" t="s">
        <v>65</v>
      </c>
      <c r="G12" s="14" t="str">
        <f t="shared" si="4"/>
        <v>45641.410</v>
      </c>
      <c r="H12" s="9">
        <f t="shared" si="5"/>
        <v>12442</v>
      </c>
      <c r="I12" s="52" t="s">
        <v>107</v>
      </c>
      <c r="J12" s="53" t="s">
        <v>108</v>
      </c>
      <c r="K12" s="52">
        <v>12442</v>
      </c>
      <c r="L12" s="52" t="s">
        <v>109</v>
      </c>
      <c r="M12" s="53" t="s">
        <v>92</v>
      </c>
      <c r="N12" s="53"/>
      <c r="O12" s="54" t="s">
        <v>105</v>
      </c>
      <c r="P12" s="54" t="s">
        <v>110</v>
      </c>
    </row>
    <row r="13" spans="1:16" ht="12.75" customHeight="1" thickBot="1">
      <c r="A13" s="9" t="str">
        <f t="shared" si="0"/>
        <v> BBS 73 </v>
      </c>
      <c r="B13" s="16" t="str">
        <f t="shared" si="1"/>
        <v>I</v>
      </c>
      <c r="C13" s="9">
        <f t="shared" si="2"/>
        <v>45921.317000000003</v>
      </c>
      <c r="D13" s="14" t="str">
        <f t="shared" si="3"/>
        <v>vis</v>
      </c>
      <c r="E13" s="51">
        <f>VLOOKUP(C13,Active!C$21:E$973,3,FALSE)</f>
        <v>12652.853228608796</v>
      </c>
      <c r="F13" s="16" t="s">
        <v>65</v>
      </c>
      <c r="G13" s="14" t="str">
        <f t="shared" si="4"/>
        <v>45921.317</v>
      </c>
      <c r="H13" s="9">
        <f t="shared" si="5"/>
        <v>12653</v>
      </c>
      <c r="I13" s="52" t="s">
        <v>111</v>
      </c>
      <c r="J13" s="53" t="s">
        <v>112</v>
      </c>
      <c r="K13" s="52">
        <v>12653</v>
      </c>
      <c r="L13" s="52" t="s">
        <v>113</v>
      </c>
      <c r="M13" s="53" t="s">
        <v>92</v>
      </c>
      <c r="N13" s="53"/>
      <c r="O13" s="54" t="s">
        <v>105</v>
      </c>
      <c r="P13" s="54" t="s">
        <v>114</v>
      </c>
    </row>
    <row r="14" spans="1:16" ht="12.75" customHeight="1" thickBot="1">
      <c r="A14" s="9" t="str">
        <f t="shared" si="0"/>
        <v> BBS 74 </v>
      </c>
      <c r="B14" s="16" t="str">
        <f t="shared" si="1"/>
        <v>I</v>
      </c>
      <c r="C14" s="9">
        <f t="shared" si="2"/>
        <v>45994.292999999998</v>
      </c>
      <c r="D14" s="14" t="str">
        <f t="shared" si="3"/>
        <v>vis</v>
      </c>
      <c r="E14" s="51">
        <f>VLOOKUP(C14,Active!C$21:E$973,3,FALSE)</f>
        <v>12707.860747519135</v>
      </c>
      <c r="F14" s="16" t="s">
        <v>65</v>
      </c>
      <c r="G14" s="14" t="str">
        <f t="shared" si="4"/>
        <v>45994.293</v>
      </c>
      <c r="H14" s="9">
        <f t="shared" si="5"/>
        <v>12708</v>
      </c>
      <c r="I14" s="52" t="s">
        <v>120</v>
      </c>
      <c r="J14" s="53" t="s">
        <v>121</v>
      </c>
      <c r="K14" s="52">
        <v>12708</v>
      </c>
      <c r="L14" s="52" t="s">
        <v>122</v>
      </c>
      <c r="M14" s="53" t="s">
        <v>92</v>
      </c>
      <c r="N14" s="53"/>
      <c r="O14" s="54" t="s">
        <v>105</v>
      </c>
      <c r="P14" s="54" t="s">
        <v>123</v>
      </c>
    </row>
    <row r="15" spans="1:16" ht="12.75" customHeight="1" thickBot="1">
      <c r="A15" s="9" t="str">
        <f t="shared" si="0"/>
        <v> BBS 78 </v>
      </c>
      <c r="B15" s="16" t="str">
        <f t="shared" si="1"/>
        <v>I</v>
      </c>
      <c r="C15" s="9">
        <f t="shared" si="2"/>
        <v>46299.415000000001</v>
      </c>
      <c r="D15" s="14" t="str">
        <f t="shared" si="3"/>
        <v>vis</v>
      </c>
      <c r="E15" s="51">
        <f>VLOOKUP(C15,Active!C$21:E$973,3,FALSE)</f>
        <v>12937.854227361297</v>
      </c>
      <c r="F15" s="16" t="s">
        <v>65</v>
      </c>
      <c r="G15" s="14" t="str">
        <f t="shared" si="4"/>
        <v>46299.415</v>
      </c>
      <c r="H15" s="9">
        <f t="shared" si="5"/>
        <v>12938</v>
      </c>
      <c r="I15" s="52" t="s">
        <v>124</v>
      </c>
      <c r="J15" s="53" t="s">
        <v>125</v>
      </c>
      <c r="K15" s="52">
        <v>12938</v>
      </c>
      <c r="L15" s="52" t="s">
        <v>126</v>
      </c>
      <c r="M15" s="53" t="s">
        <v>92</v>
      </c>
      <c r="N15" s="53"/>
      <c r="O15" s="54" t="s">
        <v>105</v>
      </c>
      <c r="P15" s="54" t="s">
        <v>127</v>
      </c>
    </row>
    <row r="16" spans="1:16" ht="12.75" customHeight="1" thickBot="1">
      <c r="A16" s="9" t="str">
        <f t="shared" si="0"/>
        <v> BRNO 27 </v>
      </c>
      <c r="B16" s="16" t="str">
        <f t="shared" si="1"/>
        <v>I</v>
      </c>
      <c r="C16" s="9">
        <f t="shared" si="2"/>
        <v>46299.415000000001</v>
      </c>
      <c r="D16" s="14" t="str">
        <f t="shared" si="3"/>
        <v>vis</v>
      </c>
      <c r="E16" s="51">
        <f>VLOOKUP(C16,Active!C$21:E$973,3,FALSE)</f>
        <v>12937.854227361297</v>
      </c>
      <c r="F16" s="16" t="s">
        <v>65</v>
      </c>
      <c r="G16" s="14" t="str">
        <f t="shared" si="4"/>
        <v>46299.415</v>
      </c>
      <c r="H16" s="9">
        <f t="shared" si="5"/>
        <v>12938</v>
      </c>
      <c r="I16" s="52" t="s">
        <v>124</v>
      </c>
      <c r="J16" s="53" t="s">
        <v>125</v>
      </c>
      <c r="K16" s="52">
        <v>12938</v>
      </c>
      <c r="L16" s="52" t="s">
        <v>126</v>
      </c>
      <c r="M16" s="53" t="s">
        <v>92</v>
      </c>
      <c r="N16" s="53"/>
      <c r="O16" s="54" t="s">
        <v>128</v>
      </c>
      <c r="P16" s="54" t="s">
        <v>119</v>
      </c>
    </row>
    <row r="17" spans="1:16" ht="12.75" customHeight="1" thickBot="1">
      <c r="A17" s="9" t="str">
        <f t="shared" si="0"/>
        <v> BBS 85 </v>
      </c>
      <c r="B17" s="16" t="str">
        <f t="shared" si="1"/>
        <v>I</v>
      </c>
      <c r="C17" s="9">
        <f t="shared" si="2"/>
        <v>47030.394</v>
      </c>
      <c r="D17" s="14" t="str">
        <f t="shared" si="3"/>
        <v>vis</v>
      </c>
      <c r="E17" s="51">
        <f>VLOOKUP(C17,Active!C$21:E$973,3,FALSE)</f>
        <v>13488.848268766182</v>
      </c>
      <c r="F17" s="16" t="s">
        <v>65</v>
      </c>
      <c r="G17" s="14" t="str">
        <f t="shared" si="4"/>
        <v>47030.394</v>
      </c>
      <c r="H17" s="9">
        <f t="shared" si="5"/>
        <v>13489</v>
      </c>
      <c r="I17" s="52" t="s">
        <v>153</v>
      </c>
      <c r="J17" s="53" t="s">
        <v>154</v>
      </c>
      <c r="K17" s="52">
        <v>13489</v>
      </c>
      <c r="L17" s="52" t="s">
        <v>155</v>
      </c>
      <c r="M17" s="53" t="s">
        <v>92</v>
      </c>
      <c r="N17" s="53"/>
      <c r="O17" s="54" t="s">
        <v>105</v>
      </c>
      <c r="P17" s="54" t="s">
        <v>156</v>
      </c>
    </row>
    <row r="18" spans="1:16" ht="12.75" customHeight="1" thickBot="1">
      <c r="A18" s="9" t="str">
        <f t="shared" si="0"/>
        <v> BBS 86 </v>
      </c>
      <c r="B18" s="16" t="str">
        <f t="shared" si="1"/>
        <v>I</v>
      </c>
      <c r="C18" s="9">
        <f t="shared" si="2"/>
        <v>47111.345999999998</v>
      </c>
      <c r="D18" s="14" t="str">
        <f t="shared" si="3"/>
        <v>vis</v>
      </c>
      <c r="E18" s="51">
        <f>VLOOKUP(C18,Active!C$21:E$973,3,FALSE)</f>
        <v>13549.867900848372</v>
      </c>
      <c r="F18" s="16" t="s">
        <v>65</v>
      </c>
      <c r="G18" s="14" t="str">
        <f t="shared" si="4"/>
        <v>47111.346</v>
      </c>
      <c r="H18" s="9">
        <f t="shared" si="5"/>
        <v>13550</v>
      </c>
      <c r="I18" s="52" t="s">
        <v>157</v>
      </c>
      <c r="J18" s="53" t="s">
        <v>158</v>
      </c>
      <c r="K18" s="52">
        <v>13550</v>
      </c>
      <c r="L18" s="52" t="s">
        <v>143</v>
      </c>
      <c r="M18" s="53" t="s">
        <v>92</v>
      </c>
      <c r="N18" s="53"/>
      <c r="O18" s="54" t="s">
        <v>105</v>
      </c>
      <c r="P18" s="54" t="s">
        <v>159</v>
      </c>
    </row>
    <row r="19" spans="1:16" ht="12.75" customHeight="1" thickBot="1">
      <c r="A19" s="9" t="str">
        <f t="shared" si="0"/>
        <v> BBS 88 </v>
      </c>
      <c r="B19" s="16" t="str">
        <f t="shared" si="1"/>
        <v>I</v>
      </c>
      <c r="C19" s="9">
        <f t="shared" si="2"/>
        <v>47331.534</v>
      </c>
      <c r="D19" s="14" t="str">
        <f t="shared" si="3"/>
        <v>vis</v>
      </c>
      <c r="E19" s="51">
        <f>VLOOKUP(C19,Active!C$21:E$973,3,FALSE)</f>
        <v>13715.840214675254</v>
      </c>
      <c r="F19" s="16" t="s">
        <v>65</v>
      </c>
      <c r="G19" s="14" t="str">
        <f t="shared" si="4"/>
        <v>47331.534</v>
      </c>
      <c r="H19" s="9">
        <f t="shared" si="5"/>
        <v>13716</v>
      </c>
      <c r="I19" s="52" t="s">
        <v>160</v>
      </c>
      <c r="J19" s="53" t="s">
        <v>161</v>
      </c>
      <c r="K19" s="52">
        <v>13716</v>
      </c>
      <c r="L19" s="52" t="s">
        <v>162</v>
      </c>
      <c r="M19" s="53" t="s">
        <v>92</v>
      </c>
      <c r="N19" s="53"/>
      <c r="O19" s="54" t="s">
        <v>105</v>
      </c>
      <c r="P19" s="54" t="s">
        <v>163</v>
      </c>
    </row>
    <row r="20" spans="1:16" ht="12.75" customHeight="1" thickBot="1">
      <c r="A20" s="9" t="str">
        <f t="shared" si="0"/>
        <v> BBS 96 </v>
      </c>
      <c r="B20" s="16" t="str">
        <f t="shared" si="1"/>
        <v>I</v>
      </c>
      <c r="C20" s="9">
        <f t="shared" si="2"/>
        <v>48119.571000000004</v>
      </c>
      <c r="D20" s="14" t="str">
        <f t="shared" si="3"/>
        <v>vis</v>
      </c>
      <c r="E20" s="51">
        <f>VLOOKUP(C20,Active!C$21:E$973,3,FALSE)</f>
        <v>14309.843177012866</v>
      </c>
      <c r="F20" s="16" t="s">
        <v>65</v>
      </c>
      <c r="G20" s="14" t="str">
        <f t="shared" si="4"/>
        <v>48119.571</v>
      </c>
      <c r="H20" s="9">
        <f t="shared" si="5"/>
        <v>14310</v>
      </c>
      <c r="I20" s="52" t="s">
        <v>164</v>
      </c>
      <c r="J20" s="53" t="s">
        <v>165</v>
      </c>
      <c r="K20" s="52">
        <v>14310</v>
      </c>
      <c r="L20" s="52" t="s">
        <v>166</v>
      </c>
      <c r="M20" s="53" t="s">
        <v>92</v>
      </c>
      <c r="N20" s="53"/>
      <c r="O20" s="54" t="s">
        <v>105</v>
      </c>
      <c r="P20" s="54" t="s">
        <v>167</v>
      </c>
    </row>
    <row r="21" spans="1:16" ht="12.75" customHeight="1" thickBot="1">
      <c r="A21" s="9" t="str">
        <f t="shared" si="0"/>
        <v> BBS 104 </v>
      </c>
      <c r="B21" s="16" t="str">
        <f t="shared" si="1"/>
        <v>I</v>
      </c>
      <c r="C21" s="9">
        <f t="shared" si="2"/>
        <v>49207.404000000002</v>
      </c>
      <c r="D21" s="14" t="str">
        <f t="shared" si="3"/>
        <v>vis</v>
      </c>
      <c r="E21" s="51">
        <f>VLOOKUP(C21,Active!C$21:E$973,3,FALSE)</f>
        <v>15129.825011023968</v>
      </c>
      <c r="F21" s="16" t="s">
        <v>65</v>
      </c>
      <c r="G21" s="14" t="str">
        <f t="shared" si="4"/>
        <v>49207.404</v>
      </c>
      <c r="H21" s="9">
        <f t="shared" si="5"/>
        <v>15130</v>
      </c>
      <c r="I21" s="52" t="s">
        <v>172</v>
      </c>
      <c r="J21" s="53" t="s">
        <v>173</v>
      </c>
      <c r="K21" s="52">
        <v>15130</v>
      </c>
      <c r="L21" s="52" t="s">
        <v>174</v>
      </c>
      <c r="M21" s="53" t="s">
        <v>92</v>
      </c>
      <c r="N21" s="53"/>
      <c r="O21" s="54" t="s">
        <v>105</v>
      </c>
      <c r="P21" s="54" t="s">
        <v>175</v>
      </c>
    </row>
    <row r="22" spans="1:16" ht="12.75" customHeight="1" thickBot="1">
      <c r="A22" s="9" t="str">
        <f t="shared" si="0"/>
        <v> BBS 113 </v>
      </c>
      <c r="B22" s="16" t="str">
        <f t="shared" si="1"/>
        <v>I</v>
      </c>
      <c r="C22" s="9">
        <f t="shared" si="2"/>
        <v>50312.474999999999</v>
      </c>
      <c r="D22" s="14" t="str">
        <f t="shared" si="3"/>
        <v>vis</v>
      </c>
      <c r="E22" s="51">
        <f>VLOOKUP(C22,Active!C$21:E$973,3,FALSE)</f>
        <v>15962.800426636917</v>
      </c>
      <c r="F22" s="16" t="s">
        <v>65</v>
      </c>
      <c r="G22" s="14" t="str">
        <f t="shared" si="4"/>
        <v>50312.475</v>
      </c>
      <c r="H22" s="9">
        <f t="shared" si="5"/>
        <v>15963</v>
      </c>
      <c r="I22" s="52" t="s">
        <v>176</v>
      </c>
      <c r="J22" s="53" t="s">
        <v>177</v>
      </c>
      <c r="K22" s="52">
        <v>15963</v>
      </c>
      <c r="L22" s="52" t="s">
        <v>178</v>
      </c>
      <c r="M22" s="53" t="s">
        <v>92</v>
      </c>
      <c r="N22" s="53"/>
      <c r="O22" s="54" t="s">
        <v>105</v>
      </c>
      <c r="P22" s="54" t="s">
        <v>179</v>
      </c>
    </row>
    <row r="23" spans="1:16" ht="12.75" customHeight="1" thickBot="1">
      <c r="A23" s="9" t="str">
        <f t="shared" si="0"/>
        <v>OEJV 0074 </v>
      </c>
      <c r="B23" s="16" t="str">
        <f t="shared" si="1"/>
        <v>I</v>
      </c>
      <c r="C23" s="9">
        <f t="shared" si="2"/>
        <v>52412.540999999997</v>
      </c>
      <c r="D23" s="14" t="str">
        <f t="shared" si="3"/>
        <v>vis</v>
      </c>
      <c r="E23" s="51">
        <f>VLOOKUP(C23,Active!C$21:E$973,3,FALSE)</f>
        <v>17545.778668907889</v>
      </c>
      <c r="F23" s="16" t="s">
        <v>65</v>
      </c>
      <c r="G23" s="14" t="str">
        <f t="shared" si="4"/>
        <v>52412.54100</v>
      </c>
      <c r="H23" s="9">
        <f t="shared" si="5"/>
        <v>17546</v>
      </c>
      <c r="I23" s="52" t="s">
        <v>187</v>
      </c>
      <c r="J23" s="53" t="s">
        <v>188</v>
      </c>
      <c r="K23" s="52">
        <v>17546</v>
      </c>
      <c r="L23" s="52" t="s">
        <v>189</v>
      </c>
      <c r="M23" s="53" t="s">
        <v>190</v>
      </c>
      <c r="N23" s="53" t="s">
        <v>191</v>
      </c>
      <c r="O23" s="54" t="s">
        <v>192</v>
      </c>
      <c r="P23" s="55" t="s">
        <v>193</v>
      </c>
    </row>
    <row r="24" spans="1:16" ht="12.75" customHeight="1" thickBot="1">
      <c r="A24" s="9" t="str">
        <f t="shared" si="0"/>
        <v>BAVM 183 </v>
      </c>
      <c r="B24" s="16" t="str">
        <f t="shared" si="1"/>
        <v>II</v>
      </c>
      <c r="C24" s="9">
        <f t="shared" si="2"/>
        <v>54018.443299999999</v>
      </c>
      <c r="D24" s="14" t="str">
        <f t="shared" si="3"/>
        <v>vis</v>
      </c>
      <c r="E24" s="51">
        <f>VLOOKUP(C24,Active!C$21:E$973,3,FALSE)</f>
        <v>18756.268434521407</v>
      </c>
      <c r="F24" s="16" t="s">
        <v>65</v>
      </c>
      <c r="G24" s="14" t="str">
        <f t="shared" si="4"/>
        <v>54018.4433</v>
      </c>
      <c r="H24" s="9">
        <f t="shared" si="5"/>
        <v>18756.5</v>
      </c>
      <c r="I24" s="52" t="s">
        <v>194</v>
      </c>
      <c r="J24" s="53" t="s">
        <v>195</v>
      </c>
      <c r="K24" s="52">
        <v>18756.5</v>
      </c>
      <c r="L24" s="52" t="s">
        <v>196</v>
      </c>
      <c r="M24" s="53" t="s">
        <v>190</v>
      </c>
      <c r="N24" s="53" t="s">
        <v>197</v>
      </c>
      <c r="O24" s="54" t="s">
        <v>198</v>
      </c>
      <c r="P24" s="55" t="s">
        <v>199</v>
      </c>
    </row>
    <row r="25" spans="1:16" ht="12.75" customHeight="1" thickBot="1">
      <c r="A25" s="9" t="str">
        <f t="shared" si="0"/>
        <v>IBVS 5931 </v>
      </c>
      <c r="B25" s="16" t="str">
        <f t="shared" si="1"/>
        <v>I</v>
      </c>
      <c r="C25" s="9">
        <f t="shared" si="2"/>
        <v>54093.3891</v>
      </c>
      <c r="D25" s="14" t="str">
        <f t="shared" si="3"/>
        <v>vis</v>
      </c>
      <c r="E25" s="51">
        <f>VLOOKUP(C25,Active!C$21:E$973,3,FALSE)</f>
        <v>18812.76074035827</v>
      </c>
      <c r="F25" s="16" t="s">
        <v>65</v>
      </c>
      <c r="G25" s="14" t="str">
        <f t="shared" si="4"/>
        <v>54093.3891</v>
      </c>
      <c r="H25" s="9">
        <f t="shared" si="5"/>
        <v>18813</v>
      </c>
      <c r="I25" s="52" t="s">
        <v>200</v>
      </c>
      <c r="J25" s="53" t="s">
        <v>201</v>
      </c>
      <c r="K25" s="52" t="s">
        <v>202</v>
      </c>
      <c r="L25" s="52" t="s">
        <v>203</v>
      </c>
      <c r="M25" s="53" t="s">
        <v>190</v>
      </c>
      <c r="N25" s="53" t="s">
        <v>65</v>
      </c>
      <c r="O25" s="54" t="s">
        <v>204</v>
      </c>
      <c r="P25" s="55" t="s">
        <v>205</v>
      </c>
    </row>
    <row r="26" spans="1:16" ht="12.75" customHeight="1" thickBot="1">
      <c r="A26" s="9" t="str">
        <f t="shared" si="0"/>
        <v>IBVS 5931 </v>
      </c>
      <c r="B26" s="16" t="str">
        <f t="shared" si="1"/>
        <v>I</v>
      </c>
      <c r="C26" s="9">
        <f t="shared" si="2"/>
        <v>54247.278899999998</v>
      </c>
      <c r="D26" s="14" t="str">
        <f t="shared" si="3"/>
        <v>vis</v>
      </c>
      <c r="E26" s="51">
        <f>VLOOKUP(C26,Active!C$21:E$973,3,FALSE)</f>
        <v>18928.759097127739</v>
      </c>
      <c r="F26" s="16" t="s">
        <v>65</v>
      </c>
      <c r="G26" s="14" t="str">
        <f t="shared" si="4"/>
        <v>54247.2789</v>
      </c>
      <c r="H26" s="9">
        <f t="shared" si="5"/>
        <v>18929</v>
      </c>
      <c r="I26" s="52" t="s">
        <v>206</v>
      </c>
      <c r="J26" s="53" t="s">
        <v>207</v>
      </c>
      <c r="K26" s="52" t="s">
        <v>208</v>
      </c>
      <c r="L26" s="52" t="s">
        <v>209</v>
      </c>
      <c r="M26" s="53" t="s">
        <v>190</v>
      </c>
      <c r="N26" s="53" t="s">
        <v>65</v>
      </c>
      <c r="O26" s="54" t="s">
        <v>204</v>
      </c>
      <c r="P26" s="55" t="s">
        <v>205</v>
      </c>
    </row>
    <row r="27" spans="1:16" ht="12.75" customHeight="1" thickBot="1">
      <c r="A27" s="9" t="str">
        <f t="shared" si="0"/>
        <v>BAVM 215 </v>
      </c>
      <c r="B27" s="16" t="str">
        <f t="shared" si="1"/>
        <v>I</v>
      </c>
      <c r="C27" s="9">
        <f t="shared" si="2"/>
        <v>55397.487800000003</v>
      </c>
      <c r="D27" s="14" t="str">
        <f t="shared" si="3"/>
        <v>vis</v>
      </c>
      <c r="E27" s="51">
        <f>VLOOKUP(C27,Active!C$21:E$973,3,FALSE)</f>
        <v>19795.758354658901</v>
      </c>
      <c r="F27" s="16" t="s">
        <v>65</v>
      </c>
      <c r="G27" s="14" t="str">
        <f t="shared" si="4"/>
        <v>55397.4878</v>
      </c>
      <c r="H27" s="9">
        <f t="shared" si="5"/>
        <v>19796</v>
      </c>
      <c r="I27" s="52" t="s">
        <v>224</v>
      </c>
      <c r="J27" s="53" t="s">
        <v>225</v>
      </c>
      <c r="K27" s="52" t="s">
        <v>226</v>
      </c>
      <c r="L27" s="52" t="s">
        <v>227</v>
      </c>
      <c r="M27" s="53" t="s">
        <v>190</v>
      </c>
      <c r="N27" s="53" t="s">
        <v>197</v>
      </c>
      <c r="O27" s="54" t="s">
        <v>214</v>
      </c>
      <c r="P27" s="55" t="s">
        <v>228</v>
      </c>
    </row>
    <row r="28" spans="1:16" ht="12.75" customHeight="1" thickBot="1">
      <c r="A28" s="9" t="str">
        <f t="shared" si="0"/>
        <v>BAVM 215 </v>
      </c>
      <c r="B28" s="16" t="str">
        <f t="shared" si="1"/>
        <v>II</v>
      </c>
      <c r="C28" s="9">
        <f t="shared" si="2"/>
        <v>55460.508699999998</v>
      </c>
      <c r="D28" s="14" t="str">
        <f t="shared" si="3"/>
        <v>vis</v>
      </c>
      <c r="E28" s="51">
        <f>VLOOKUP(C28,Active!C$21:E$973,3,FALSE)</f>
        <v>19843.261963358975</v>
      </c>
      <c r="F28" s="16" t="s">
        <v>65</v>
      </c>
      <c r="G28" s="14" t="str">
        <f t="shared" si="4"/>
        <v>55460.5087</v>
      </c>
      <c r="H28" s="9">
        <f t="shared" si="5"/>
        <v>19843.5</v>
      </c>
      <c r="I28" s="52" t="s">
        <v>229</v>
      </c>
      <c r="J28" s="53" t="s">
        <v>230</v>
      </c>
      <c r="K28" s="52" t="s">
        <v>231</v>
      </c>
      <c r="L28" s="52" t="s">
        <v>232</v>
      </c>
      <c r="M28" s="53" t="s">
        <v>190</v>
      </c>
      <c r="N28" s="53" t="s">
        <v>197</v>
      </c>
      <c r="O28" s="54" t="s">
        <v>214</v>
      </c>
      <c r="P28" s="55" t="s">
        <v>228</v>
      </c>
    </row>
    <row r="29" spans="1:16" ht="12.75" customHeight="1" thickBot="1">
      <c r="A29" s="9" t="str">
        <f t="shared" si="0"/>
        <v>IBVS 6042 </v>
      </c>
      <c r="B29" s="16" t="str">
        <f t="shared" si="1"/>
        <v>I</v>
      </c>
      <c r="C29" s="9">
        <f t="shared" si="2"/>
        <v>56214.695099999997</v>
      </c>
      <c r="D29" s="14" t="str">
        <f t="shared" si="3"/>
        <v>vis</v>
      </c>
      <c r="E29" s="51">
        <f>VLOOKUP(C29,Active!C$21:E$973,3,FALSE)</f>
        <v>20411.749173673637</v>
      </c>
      <c r="F29" s="16" t="s">
        <v>65</v>
      </c>
      <c r="G29" s="14" t="str">
        <f t="shared" si="4"/>
        <v>56214.6951</v>
      </c>
      <c r="H29" s="9">
        <f t="shared" si="5"/>
        <v>20412</v>
      </c>
      <c r="I29" s="52" t="s">
        <v>238</v>
      </c>
      <c r="J29" s="53" t="s">
        <v>239</v>
      </c>
      <c r="K29" s="52" t="s">
        <v>240</v>
      </c>
      <c r="L29" s="52" t="s">
        <v>241</v>
      </c>
      <c r="M29" s="53" t="s">
        <v>190</v>
      </c>
      <c r="N29" s="53" t="s">
        <v>65</v>
      </c>
      <c r="O29" s="54" t="s">
        <v>185</v>
      </c>
      <c r="P29" s="55" t="s">
        <v>242</v>
      </c>
    </row>
    <row r="30" spans="1:16" ht="12.75" customHeight="1" thickBot="1">
      <c r="A30" s="9" t="str">
        <f t="shared" si="0"/>
        <v> VSS 1.486 </v>
      </c>
      <c r="B30" s="16" t="str">
        <f t="shared" si="1"/>
        <v>I</v>
      </c>
      <c r="C30" s="9">
        <f t="shared" si="2"/>
        <v>29135.411</v>
      </c>
      <c r="D30" s="14" t="str">
        <f t="shared" si="3"/>
        <v>vis</v>
      </c>
      <c r="E30" s="51">
        <f>VLOOKUP(C30,Active!C$21:E$973,3,FALSE)</f>
        <v>4.8995405737505479E-2</v>
      </c>
      <c r="F30" s="16" t="s">
        <v>65</v>
      </c>
      <c r="G30" s="14" t="str">
        <f t="shared" si="4"/>
        <v>29135.411</v>
      </c>
      <c r="H30" s="9">
        <f t="shared" si="5"/>
        <v>0</v>
      </c>
      <c r="I30" s="52" t="s">
        <v>67</v>
      </c>
      <c r="J30" s="53" t="s">
        <v>68</v>
      </c>
      <c r="K30" s="52">
        <v>0</v>
      </c>
      <c r="L30" s="52" t="s">
        <v>69</v>
      </c>
      <c r="M30" s="53" t="s">
        <v>70</v>
      </c>
      <c r="N30" s="53"/>
      <c r="O30" s="54" t="s">
        <v>71</v>
      </c>
      <c r="P30" s="54" t="s">
        <v>72</v>
      </c>
    </row>
    <row r="31" spans="1:16" ht="12.75" customHeight="1" thickBot="1">
      <c r="A31" s="9" t="str">
        <f t="shared" si="0"/>
        <v> VSS 1.486 </v>
      </c>
      <c r="B31" s="16" t="str">
        <f t="shared" si="1"/>
        <v>I</v>
      </c>
      <c r="C31" s="9">
        <f t="shared" si="2"/>
        <v>29216.267</v>
      </c>
      <c r="D31" s="14" t="str">
        <f t="shared" si="3"/>
        <v>vis</v>
      </c>
      <c r="E31" s="51">
        <f>VLOOKUP(C31,Active!C$21:E$973,3,FALSE)</f>
        <v>60.996265042530624</v>
      </c>
      <c r="F31" s="16" t="s">
        <v>65</v>
      </c>
      <c r="G31" s="14" t="str">
        <f t="shared" si="4"/>
        <v>29216.267</v>
      </c>
      <c r="H31" s="9">
        <f t="shared" si="5"/>
        <v>61</v>
      </c>
      <c r="I31" s="52" t="s">
        <v>73</v>
      </c>
      <c r="J31" s="53" t="s">
        <v>74</v>
      </c>
      <c r="K31" s="52">
        <v>61</v>
      </c>
      <c r="L31" s="52" t="s">
        <v>75</v>
      </c>
      <c r="M31" s="53" t="s">
        <v>70</v>
      </c>
      <c r="N31" s="53"/>
      <c r="O31" s="54" t="s">
        <v>71</v>
      </c>
      <c r="P31" s="54" t="s">
        <v>72</v>
      </c>
    </row>
    <row r="32" spans="1:16" ht="12.75" customHeight="1" thickBot="1">
      <c r="A32" s="9" t="str">
        <f t="shared" si="0"/>
        <v> VSS 1.487 </v>
      </c>
      <c r="B32" s="16" t="str">
        <f t="shared" si="1"/>
        <v>I</v>
      </c>
      <c r="C32" s="9">
        <f t="shared" si="2"/>
        <v>29424.51</v>
      </c>
      <c r="D32" s="14" t="str">
        <f t="shared" si="3"/>
        <v>vis</v>
      </c>
      <c r="E32" s="51">
        <f>VLOOKUP(C32,Active!C$21:E$973,3,FALSE)</f>
        <v>217.96473084562078</v>
      </c>
      <c r="F32" s="16" t="s">
        <v>65</v>
      </c>
      <c r="G32" s="14" t="str">
        <f t="shared" si="4"/>
        <v>29424.510</v>
      </c>
      <c r="H32" s="9">
        <f t="shared" si="5"/>
        <v>218</v>
      </c>
      <c r="I32" s="52" t="s">
        <v>76</v>
      </c>
      <c r="J32" s="53" t="s">
        <v>77</v>
      </c>
      <c r="K32" s="52">
        <v>218</v>
      </c>
      <c r="L32" s="52" t="s">
        <v>78</v>
      </c>
      <c r="M32" s="53" t="s">
        <v>70</v>
      </c>
      <c r="N32" s="53"/>
      <c r="O32" s="54" t="s">
        <v>71</v>
      </c>
      <c r="P32" s="54" t="s">
        <v>79</v>
      </c>
    </row>
    <row r="33" spans="1:16" ht="12.75" customHeight="1" thickBot="1">
      <c r="A33" s="9" t="str">
        <f t="shared" si="0"/>
        <v> VSS 1.487 </v>
      </c>
      <c r="B33" s="16" t="str">
        <f t="shared" si="1"/>
        <v>I</v>
      </c>
      <c r="C33" s="9">
        <f t="shared" si="2"/>
        <v>29456.473000000002</v>
      </c>
      <c r="D33" s="14" t="str">
        <f t="shared" si="3"/>
        <v>vis</v>
      </c>
      <c r="E33" s="51">
        <f>VLOOKUP(C33,Active!C$21:E$973,3,FALSE)</f>
        <v>242.05765628592243</v>
      </c>
      <c r="F33" s="16" t="s">
        <v>65</v>
      </c>
      <c r="G33" s="14" t="str">
        <f t="shared" si="4"/>
        <v>29456.473</v>
      </c>
      <c r="H33" s="9">
        <f t="shared" si="5"/>
        <v>242</v>
      </c>
      <c r="I33" s="52" t="s">
        <v>80</v>
      </c>
      <c r="J33" s="53" t="s">
        <v>81</v>
      </c>
      <c r="K33" s="52">
        <v>242</v>
      </c>
      <c r="L33" s="52" t="s">
        <v>82</v>
      </c>
      <c r="M33" s="53" t="s">
        <v>70</v>
      </c>
      <c r="N33" s="53"/>
      <c r="O33" s="54" t="s">
        <v>71</v>
      </c>
      <c r="P33" s="54" t="s">
        <v>79</v>
      </c>
    </row>
    <row r="34" spans="1:16" ht="12.75" customHeight="1" thickBot="1">
      <c r="A34" s="9" t="str">
        <f t="shared" si="0"/>
        <v> VSS 1.487 </v>
      </c>
      <c r="B34" s="16" t="str">
        <f t="shared" si="1"/>
        <v>I</v>
      </c>
      <c r="C34" s="9">
        <f t="shared" si="2"/>
        <v>29501.562999999998</v>
      </c>
      <c r="D34" s="14" t="str">
        <f t="shared" si="3"/>
        <v>vis</v>
      </c>
      <c r="E34" s="51">
        <f>VLOOKUP(C34,Active!C$21:E$973,3,FALSE)</f>
        <v>276.04539235897573</v>
      </c>
      <c r="F34" s="16" t="s">
        <v>65</v>
      </c>
      <c r="G34" s="14" t="str">
        <f t="shared" si="4"/>
        <v>29501.563</v>
      </c>
      <c r="H34" s="9">
        <f t="shared" si="5"/>
        <v>276</v>
      </c>
      <c r="I34" s="52" t="s">
        <v>83</v>
      </c>
      <c r="J34" s="53" t="s">
        <v>84</v>
      </c>
      <c r="K34" s="52">
        <v>276</v>
      </c>
      <c r="L34" s="52" t="s">
        <v>85</v>
      </c>
      <c r="M34" s="53" t="s">
        <v>70</v>
      </c>
      <c r="N34" s="53"/>
      <c r="O34" s="54" t="s">
        <v>71</v>
      </c>
      <c r="P34" s="54" t="s">
        <v>79</v>
      </c>
    </row>
    <row r="35" spans="1:16" ht="12.75" customHeight="1" thickBot="1">
      <c r="A35" s="9" t="str">
        <f t="shared" si="0"/>
        <v> VSS 1.487 </v>
      </c>
      <c r="B35" s="16" t="str">
        <f t="shared" si="1"/>
        <v>I</v>
      </c>
      <c r="C35" s="9">
        <f t="shared" si="2"/>
        <v>31076.276999999998</v>
      </c>
      <c r="D35" s="14" t="str">
        <f t="shared" si="3"/>
        <v>vis</v>
      </c>
      <c r="E35" s="51">
        <f>VLOOKUP(C35,Active!C$21:E$973,3,FALSE)</f>
        <v>1463.0261823910489</v>
      </c>
      <c r="F35" s="16" t="s">
        <v>65</v>
      </c>
      <c r="G35" s="14" t="str">
        <f t="shared" si="4"/>
        <v>31076.277</v>
      </c>
      <c r="H35" s="9">
        <f t="shared" si="5"/>
        <v>1463</v>
      </c>
      <c r="I35" s="52" t="s">
        <v>86</v>
      </c>
      <c r="J35" s="53" t="s">
        <v>87</v>
      </c>
      <c r="K35" s="52">
        <v>1463</v>
      </c>
      <c r="L35" s="52" t="s">
        <v>88</v>
      </c>
      <c r="M35" s="53" t="s">
        <v>70</v>
      </c>
      <c r="N35" s="53"/>
      <c r="O35" s="54" t="s">
        <v>71</v>
      </c>
      <c r="P35" s="54" t="s">
        <v>79</v>
      </c>
    </row>
    <row r="36" spans="1:16" ht="12.75" customHeight="1" thickBot="1">
      <c r="A36" s="9" t="str">
        <f t="shared" si="0"/>
        <v> VSS 1.487 </v>
      </c>
      <c r="B36" s="16" t="str">
        <f t="shared" si="1"/>
        <v>I</v>
      </c>
      <c r="C36" s="9">
        <f t="shared" si="2"/>
        <v>32823.459000000003</v>
      </c>
      <c r="D36" s="14" t="str">
        <f t="shared" si="3"/>
        <v>vis</v>
      </c>
      <c r="E36" s="51">
        <f>VLOOKUP(C36,Active!C$21:E$973,3,FALSE)</f>
        <v>2780.009120683223</v>
      </c>
      <c r="F36" s="16" t="s">
        <v>65</v>
      </c>
      <c r="G36" s="14" t="str">
        <f t="shared" si="4"/>
        <v>32823.459</v>
      </c>
      <c r="H36" s="9">
        <f t="shared" si="5"/>
        <v>2780</v>
      </c>
      <c r="I36" s="52" t="s">
        <v>89</v>
      </c>
      <c r="J36" s="53" t="s">
        <v>90</v>
      </c>
      <c r="K36" s="52">
        <v>2780</v>
      </c>
      <c r="L36" s="52" t="s">
        <v>91</v>
      </c>
      <c r="M36" s="53" t="s">
        <v>92</v>
      </c>
      <c r="N36" s="53"/>
      <c r="O36" s="54" t="s">
        <v>93</v>
      </c>
      <c r="P36" s="54" t="s">
        <v>79</v>
      </c>
    </row>
    <row r="37" spans="1:16" ht="12.75" customHeight="1" thickBot="1">
      <c r="A37" s="9" t="str">
        <f t="shared" si="0"/>
        <v> VSS 1.487 </v>
      </c>
      <c r="B37" s="16" t="str">
        <f t="shared" si="1"/>
        <v>I</v>
      </c>
      <c r="C37" s="9">
        <f t="shared" si="2"/>
        <v>32827.409</v>
      </c>
      <c r="D37" s="14" t="str">
        <f t="shared" si="3"/>
        <v>vis</v>
      </c>
      <c r="E37" s="51">
        <f>VLOOKUP(C37,Active!C$21:E$973,3,FALSE)</f>
        <v>2782.9865338011755</v>
      </c>
      <c r="F37" s="16" t="s">
        <v>65</v>
      </c>
      <c r="G37" s="14" t="str">
        <f t="shared" si="4"/>
        <v>32827.409</v>
      </c>
      <c r="H37" s="9">
        <f t="shared" si="5"/>
        <v>2783</v>
      </c>
      <c r="I37" s="52" t="s">
        <v>94</v>
      </c>
      <c r="J37" s="53" t="s">
        <v>95</v>
      </c>
      <c r="K37" s="52">
        <v>2783</v>
      </c>
      <c r="L37" s="52" t="s">
        <v>96</v>
      </c>
      <c r="M37" s="53" t="s">
        <v>92</v>
      </c>
      <c r="N37" s="53"/>
      <c r="O37" s="54" t="s">
        <v>93</v>
      </c>
      <c r="P37" s="54" t="s">
        <v>79</v>
      </c>
    </row>
    <row r="38" spans="1:16" ht="12.75" customHeight="1" thickBot="1">
      <c r="A38" s="9" t="str">
        <f t="shared" si="0"/>
        <v> VSS 1.487 </v>
      </c>
      <c r="B38" s="16" t="str">
        <f t="shared" si="1"/>
        <v>I</v>
      </c>
      <c r="C38" s="9">
        <f t="shared" si="2"/>
        <v>32831.385999999999</v>
      </c>
      <c r="D38" s="14" t="str">
        <f t="shared" si="3"/>
        <v>vis</v>
      </c>
      <c r="E38" s="51">
        <f>VLOOKUP(C38,Active!C$21:E$973,3,FALSE)</f>
        <v>2785.9842988568976</v>
      </c>
      <c r="F38" s="16" t="s">
        <v>65</v>
      </c>
      <c r="G38" s="14" t="str">
        <f t="shared" si="4"/>
        <v>32831.386</v>
      </c>
      <c r="H38" s="9">
        <f t="shared" si="5"/>
        <v>2786</v>
      </c>
      <c r="I38" s="52" t="s">
        <v>97</v>
      </c>
      <c r="J38" s="53" t="s">
        <v>98</v>
      </c>
      <c r="K38" s="52">
        <v>2786</v>
      </c>
      <c r="L38" s="52" t="s">
        <v>99</v>
      </c>
      <c r="M38" s="53" t="s">
        <v>92</v>
      </c>
      <c r="N38" s="53"/>
      <c r="O38" s="54" t="s">
        <v>93</v>
      </c>
      <c r="P38" s="54" t="s">
        <v>79</v>
      </c>
    </row>
    <row r="39" spans="1:16" ht="12.75" customHeight="1" thickBot="1">
      <c r="A39" s="9" t="str">
        <f t="shared" si="0"/>
        <v> VSS 1.487 </v>
      </c>
      <c r="B39" s="16" t="str">
        <f t="shared" si="1"/>
        <v>I</v>
      </c>
      <c r="C39" s="9">
        <f t="shared" si="2"/>
        <v>32835.398999999998</v>
      </c>
      <c r="D39" s="14" t="str">
        <f t="shared" si="3"/>
        <v>vis</v>
      </c>
      <c r="E39" s="51">
        <f>VLOOKUP(C39,Active!C$21:E$973,3,FALSE)</f>
        <v>2789.0091998296439</v>
      </c>
      <c r="F39" s="16" t="s">
        <v>65</v>
      </c>
      <c r="G39" s="14" t="str">
        <f t="shared" si="4"/>
        <v>32835.399</v>
      </c>
      <c r="H39" s="9">
        <f t="shared" si="5"/>
        <v>2789</v>
      </c>
      <c r="I39" s="52" t="s">
        <v>100</v>
      </c>
      <c r="J39" s="53" t="s">
        <v>101</v>
      </c>
      <c r="K39" s="52">
        <v>2789</v>
      </c>
      <c r="L39" s="52" t="s">
        <v>91</v>
      </c>
      <c r="M39" s="53" t="s">
        <v>92</v>
      </c>
      <c r="N39" s="53"/>
      <c r="O39" s="54" t="s">
        <v>93</v>
      </c>
      <c r="P39" s="54" t="s">
        <v>79</v>
      </c>
    </row>
    <row r="40" spans="1:16" ht="12.75" customHeight="1" thickBot="1">
      <c r="A40" s="9" t="str">
        <f t="shared" si="0"/>
        <v> BRNO 27 </v>
      </c>
      <c r="B40" s="16" t="str">
        <f t="shared" si="1"/>
        <v>I</v>
      </c>
      <c r="C40" s="9">
        <f t="shared" si="2"/>
        <v>45994.292000000001</v>
      </c>
      <c r="D40" s="14" t="str">
        <f t="shared" si="3"/>
        <v>vis</v>
      </c>
      <c r="E40" s="51">
        <f>VLOOKUP(C40,Active!C$21:E$973,3,FALSE)</f>
        <v>12707.859993743665</v>
      </c>
      <c r="F40" s="16" t="s">
        <v>65</v>
      </c>
      <c r="G40" s="14" t="str">
        <f t="shared" si="4"/>
        <v>45994.292</v>
      </c>
      <c r="H40" s="9">
        <f t="shared" si="5"/>
        <v>12708</v>
      </c>
      <c r="I40" s="52" t="s">
        <v>115</v>
      </c>
      <c r="J40" s="53" t="s">
        <v>116</v>
      </c>
      <c r="K40" s="52">
        <v>12708</v>
      </c>
      <c r="L40" s="52" t="s">
        <v>117</v>
      </c>
      <c r="M40" s="53" t="s">
        <v>92</v>
      </c>
      <c r="N40" s="53"/>
      <c r="O40" s="54" t="s">
        <v>118</v>
      </c>
      <c r="P40" s="54" t="s">
        <v>119</v>
      </c>
    </row>
    <row r="41" spans="1:16" ht="12.75" customHeight="1" thickBot="1">
      <c r="A41" s="9" t="str">
        <f t="shared" si="0"/>
        <v> BRNO 27 </v>
      </c>
      <c r="B41" s="16" t="str">
        <f t="shared" si="1"/>
        <v>I</v>
      </c>
      <c r="C41" s="9">
        <f t="shared" si="2"/>
        <v>46299.423999999999</v>
      </c>
      <c r="D41" s="14" t="str">
        <f t="shared" si="3"/>
        <v>vis</v>
      </c>
      <c r="E41" s="51">
        <f>VLOOKUP(C41,Active!C$21:E$973,3,FALSE)</f>
        <v>12937.86101134055</v>
      </c>
      <c r="F41" s="16" t="s">
        <v>65</v>
      </c>
      <c r="G41" s="14" t="str">
        <f t="shared" si="4"/>
        <v>46299.424</v>
      </c>
      <c r="H41" s="9">
        <f t="shared" si="5"/>
        <v>12938</v>
      </c>
      <c r="I41" s="52" t="s">
        <v>129</v>
      </c>
      <c r="J41" s="53" t="s">
        <v>130</v>
      </c>
      <c r="K41" s="52">
        <v>12938</v>
      </c>
      <c r="L41" s="52" t="s">
        <v>131</v>
      </c>
      <c r="M41" s="53" t="s">
        <v>92</v>
      </c>
      <c r="N41" s="53"/>
      <c r="O41" s="54" t="s">
        <v>132</v>
      </c>
      <c r="P41" s="54" t="s">
        <v>119</v>
      </c>
    </row>
    <row r="42" spans="1:16" ht="12.75" customHeight="1" thickBot="1">
      <c r="A42" s="9" t="str">
        <f t="shared" si="0"/>
        <v> BRNO 27 </v>
      </c>
      <c r="B42" s="16" t="str">
        <f t="shared" si="1"/>
        <v>I</v>
      </c>
      <c r="C42" s="9">
        <f t="shared" si="2"/>
        <v>46299.423999999999</v>
      </c>
      <c r="D42" s="14" t="str">
        <f t="shared" si="3"/>
        <v>vis</v>
      </c>
      <c r="E42" s="51">
        <f>VLOOKUP(C42,Active!C$21:E$973,3,FALSE)</f>
        <v>12937.86101134055</v>
      </c>
      <c r="F42" s="16" t="s">
        <v>65</v>
      </c>
      <c r="G42" s="14" t="str">
        <f t="shared" si="4"/>
        <v>46299.424</v>
      </c>
      <c r="H42" s="9">
        <f t="shared" si="5"/>
        <v>12938</v>
      </c>
      <c r="I42" s="52" t="s">
        <v>129</v>
      </c>
      <c r="J42" s="53" t="s">
        <v>130</v>
      </c>
      <c r="K42" s="52">
        <v>12938</v>
      </c>
      <c r="L42" s="52" t="s">
        <v>131</v>
      </c>
      <c r="M42" s="53" t="s">
        <v>92</v>
      </c>
      <c r="N42" s="53"/>
      <c r="O42" s="54" t="s">
        <v>133</v>
      </c>
      <c r="P42" s="54" t="s">
        <v>119</v>
      </c>
    </row>
    <row r="43" spans="1:16" ht="12.75" customHeight="1" thickBot="1">
      <c r="A43" s="9" t="str">
        <f t="shared" si="0"/>
        <v> BRNO 27 </v>
      </c>
      <c r="B43" s="16" t="str">
        <f t="shared" si="1"/>
        <v>I</v>
      </c>
      <c r="C43" s="9">
        <f t="shared" si="2"/>
        <v>46299.428</v>
      </c>
      <c r="D43" s="14" t="str">
        <f t="shared" si="3"/>
        <v>vis</v>
      </c>
      <c r="E43" s="51">
        <f>VLOOKUP(C43,Active!C$21:E$973,3,FALSE)</f>
        <v>12937.864026442443</v>
      </c>
      <c r="F43" s="16" t="s">
        <v>65</v>
      </c>
      <c r="G43" s="14" t="str">
        <f t="shared" si="4"/>
        <v>46299.428</v>
      </c>
      <c r="H43" s="9">
        <f t="shared" si="5"/>
        <v>12938</v>
      </c>
      <c r="I43" s="52" t="s">
        <v>134</v>
      </c>
      <c r="J43" s="53" t="s">
        <v>135</v>
      </c>
      <c r="K43" s="52">
        <v>12938</v>
      </c>
      <c r="L43" s="52" t="s">
        <v>136</v>
      </c>
      <c r="M43" s="53" t="s">
        <v>92</v>
      </c>
      <c r="N43" s="53"/>
      <c r="O43" s="54" t="s">
        <v>137</v>
      </c>
      <c r="P43" s="54" t="s">
        <v>119</v>
      </c>
    </row>
    <row r="44" spans="1:16" ht="12.75" customHeight="1" thickBot="1">
      <c r="A44" s="9" t="str">
        <f t="shared" si="0"/>
        <v> BRNO 27 </v>
      </c>
      <c r="B44" s="16" t="str">
        <f t="shared" si="1"/>
        <v>I</v>
      </c>
      <c r="C44" s="9">
        <f t="shared" si="2"/>
        <v>46299.43</v>
      </c>
      <c r="D44" s="14" t="str">
        <f t="shared" si="3"/>
        <v>vis</v>
      </c>
      <c r="E44" s="51">
        <f>VLOOKUP(C44,Active!C$21:E$973,3,FALSE)</f>
        <v>12937.86553399339</v>
      </c>
      <c r="F44" s="16" t="s">
        <v>65</v>
      </c>
      <c r="G44" s="14" t="str">
        <f t="shared" si="4"/>
        <v>46299.430</v>
      </c>
      <c r="H44" s="9">
        <f t="shared" si="5"/>
        <v>12938</v>
      </c>
      <c r="I44" s="52" t="s">
        <v>138</v>
      </c>
      <c r="J44" s="53" t="s">
        <v>139</v>
      </c>
      <c r="K44" s="52">
        <v>12938</v>
      </c>
      <c r="L44" s="52" t="s">
        <v>109</v>
      </c>
      <c r="M44" s="53" t="s">
        <v>92</v>
      </c>
      <c r="N44" s="53"/>
      <c r="O44" s="54" t="s">
        <v>140</v>
      </c>
      <c r="P44" s="54" t="s">
        <v>119</v>
      </c>
    </row>
    <row r="45" spans="1:16" ht="12.75" customHeight="1" thickBot="1">
      <c r="A45" s="9" t="str">
        <f t="shared" si="0"/>
        <v> BRNO 27 </v>
      </c>
      <c r="B45" s="16" t="str">
        <f t="shared" si="1"/>
        <v>I</v>
      </c>
      <c r="C45" s="9">
        <f t="shared" si="2"/>
        <v>46299.432999999997</v>
      </c>
      <c r="D45" s="14" t="str">
        <f t="shared" si="3"/>
        <v>vis</v>
      </c>
      <c r="E45" s="51">
        <f>VLOOKUP(C45,Active!C$21:E$973,3,FALSE)</f>
        <v>12937.867795319806</v>
      </c>
      <c r="F45" s="16" t="s">
        <v>65</v>
      </c>
      <c r="G45" s="14" t="str">
        <f t="shared" si="4"/>
        <v>46299.433</v>
      </c>
      <c r="H45" s="9">
        <f t="shared" si="5"/>
        <v>12938</v>
      </c>
      <c r="I45" s="52" t="s">
        <v>141</v>
      </c>
      <c r="J45" s="53" t="s">
        <v>142</v>
      </c>
      <c r="K45" s="52">
        <v>12938</v>
      </c>
      <c r="L45" s="52" t="s">
        <v>143</v>
      </c>
      <c r="M45" s="53" t="s">
        <v>92</v>
      </c>
      <c r="N45" s="53"/>
      <c r="O45" s="54" t="s">
        <v>144</v>
      </c>
      <c r="P45" s="54" t="s">
        <v>119</v>
      </c>
    </row>
    <row r="46" spans="1:16" ht="12.75" customHeight="1" thickBot="1">
      <c r="A46" s="9" t="str">
        <f t="shared" si="0"/>
        <v> BRNO 27 </v>
      </c>
      <c r="B46" s="16" t="str">
        <f t="shared" si="1"/>
        <v>I</v>
      </c>
      <c r="C46" s="9">
        <f t="shared" si="2"/>
        <v>46299.436999999998</v>
      </c>
      <c r="D46" s="14" t="str">
        <f t="shared" si="3"/>
        <v>vis</v>
      </c>
      <c r="E46" s="51">
        <f>VLOOKUP(C46,Active!C$21:E$973,3,FALSE)</f>
        <v>12937.870810421698</v>
      </c>
      <c r="F46" s="16" t="s">
        <v>65</v>
      </c>
      <c r="G46" s="14" t="str">
        <f t="shared" si="4"/>
        <v>46299.437</v>
      </c>
      <c r="H46" s="9">
        <f t="shared" si="5"/>
        <v>12938</v>
      </c>
      <c r="I46" s="52" t="s">
        <v>145</v>
      </c>
      <c r="J46" s="53" t="s">
        <v>146</v>
      </c>
      <c r="K46" s="52">
        <v>12938</v>
      </c>
      <c r="L46" s="52" t="s">
        <v>147</v>
      </c>
      <c r="M46" s="53" t="s">
        <v>92</v>
      </c>
      <c r="N46" s="53"/>
      <c r="O46" s="54" t="s">
        <v>148</v>
      </c>
      <c r="P46" s="54" t="s">
        <v>119</v>
      </c>
    </row>
    <row r="47" spans="1:16" ht="12.75" customHeight="1" thickBot="1">
      <c r="A47" s="9" t="str">
        <f t="shared" si="0"/>
        <v> BRNO 30 </v>
      </c>
      <c r="B47" s="16" t="str">
        <f t="shared" si="1"/>
        <v>I</v>
      </c>
      <c r="C47" s="9">
        <f t="shared" si="2"/>
        <v>47014.474999999999</v>
      </c>
      <c r="D47" s="14" t="str">
        <f t="shared" si="3"/>
        <v>vis</v>
      </c>
      <c r="E47" s="51">
        <f>VLOOKUP(C47,Active!C$21:E$973,3,FALSE)</f>
        <v>13476.848917013089</v>
      </c>
      <c r="F47" s="16" t="s">
        <v>65</v>
      </c>
      <c r="G47" s="14" t="str">
        <f t="shared" si="4"/>
        <v>47014.475</v>
      </c>
      <c r="H47" s="9">
        <f t="shared" si="5"/>
        <v>13477</v>
      </c>
      <c r="I47" s="52" t="s">
        <v>149</v>
      </c>
      <c r="J47" s="53" t="s">
        <v>150</v>
      </c>
      <c r="K47" s="52">
        <v>13477</v>
      </c>
      <c r="L47" s="52" t="s">
        <v>151</v>
      </c>
      <c r="M47" s="53" t="s">
        <v>92</v>
      </c>
      <c r="N47" s="53"/>
      <c r="O47" s="54" t="s">
        <v>118</v>
      </c>
      <c r="P47" s="54" t="s">
        <v>152</v>
      </c>
    </row>
    <row r="48" spans="1:16" ht="12.75" customHeight="1" thickBot="1">
      <c r="A48" s="9" t="str">
        <f t="shared" si="0"/>
        <v> BRNO 31 </v>
      </c>
      <c r="B48" s="16" t="str">
        <f t="shared" si="1"/>
        <v>I</v>
      </c>
      <c r="C48" s="9">
        <f t="shared" si="2"/>
        <v>48151.408000000003</v>
      </c>
      <c r="D48" s="14" t="str">
        <f t="shared" si="3"/>
        <v>vis</v>
      </c>
      <c r="E48" s="51">
        <f>VLOOKUP(C48,Active!C$21:E$973,3,FALSE)</f>
        <v>14333.841126743579</v>
      </c>
      <c r="F48" s="16" t="s">
        <v>65</v>
      </c>
      <c r="G48" s="14" t="str">
        <f t="shared" si="4"/>
        <v>48151.408</v>
      </c>
      <c r="H48" s="9">
        <f t="shared" si="5"/>
        <v>14334</v>
      </c>
      <c r="I48" s="52" t="s">
        <v>168</v>
      </c>
      <c r="J48" s="53" t="s">
        <v>169</v>
      </c>
      <c r="K48" s="52">
        <v>14334</v>
      </c>
      <c r="L48" s="52" t="s">
        <v>170</v>
      </c>
      <c r="M48" s="53" t="s">
        <v>92</v>
      </c>
      <c r="N48" s="53"/>
      <c r="O48" s="54" t="s">
        <v>132</v>
      </c>
      <c r="P48" s="54" t="s">
        <v>171</v>
      </c>
    </row>
    <row r="49" spans="1:16" ht="12.75" customHeight="1" thickBot="1">
      <c r="A49" s="9" t="str">
        <f t="shared" si="0"/>
        <v> BBS 126 </v>
      </c>
      <c r="B49" s="16" t="str">
        <f t="shared" si="1"/>
        <v>I</v>
      </c>
      <c r="C49" s="9">
        <f t="shared" si="2"/>
        <v>52196.2978</v>
      </c>
      <c r="D49" s="14" t="str">
        <f t="shared" si="3"/>
        <v>vis</v>
      </c>
      <c r="E49" s="51">
        <f>VLOOKUP(C49,Active!C$21:E$973,3,FALSE)</f>
        <v>17382.779848566508</v>
      </c>
      <c r="F49" s="16" t="s">
        <v>65</v>
      </c>
      <c r="G49" s="14" t="str">
        <f t="shared" si="4"/>
        <v>52196.2978</v>
      </c>
      <c r="H49" s="9">
        <f t="shared" si="5"/>
        <v>17383</v>
      </c>
      <c r="I49" s="52" t="s">
        <v>180</v>
      </c>
      <c r="J49" s="53" t="s">
        <v>181</v>
      </c>
      <c r="K49" s="52">
        <v>17383</v>
      </c>
      <c r="L49" s="52" t="s">
        <v>182</v>
      </c>
      <c r="M49" s="53" t="s">
        <v>183</v>
      </c>
      <c r="N49" s="53" t="s">
        <v>184</v>
      </c>
      <c r="O49" s="54" t="s">
        <v>185</v>
      </c>
      <c r="P49" s="54" t="s">
        <v>186</v>
      </c>
    </row>
    <row r="50" spans="1:16" ht="12.75" customHeight="1" thickBot="1">
      <c r="A50" s="9" t="str">
        <f t="shared" si="0"/>
        <v>BAVM 212 </v>
      </c>
      <c r="B50" s="16" t="str">
        <f t="shared" si="1"/>
        <v>I</v>
      </c>
      <c r="C50" s="9">
        <f t="shared" si="2"/>
        <v>55064.499799999998</v>
      </c>
      <c r="D50" s="14" t="str">
        <f t="shared" si="3"/>
        <v>vis</v>
      </c>
      <c r="E50" s="51">
        <f>VLOOKUP(C50,Active!C$21:E$973,3,FALSE)</f>
        <v>19544.760167488908</v>
      </c>
      <c r="F50" s="16" t="s">
        <v>65</v>
      </c>
      <c r="G50" s="14" t="str">
        <f t="shared" si="4"/>
        <v>55064.4998</v>
      </c>
      <c r="H50" s="9">
        <f t="shared" si="5"/>
        <v>19545</v>
      </c>
      <c r="I50" s="52" t="s">
        <v>210</v>
      </c>
      <c r="J50" s="53" t="s">
        <v>211</v>
      </c>
      <c r="K50" s="52" t="s">
        <v>212</v>
      </c>
      <c r="L50" s="52" t="s">
        <v>213</v>
      </c>
      <c r="M50" s="53" t="s">
        <v>190</v>
      </c>
      <c r="N50" s="53" t="s">
        <v>197</v>
      </c>
      <c r="O50" s="54" t="s">
        <v>214</v>
      </c>
      <c r="P50" s="55" t="s">
        <v>215</v>
      </c>
    </row>
    <row r="51" spans="1:16" ht="12.75" customHeight="1" thickBot="1">
      <c r="A51" s="9" t="str">
        <f t="shared" si="0"/>
        <v>BAVM 212 </v>
      </c>
      <c r="B51" s="16" t="str">
        <f t="shared" si="1"/>
        <v>II</v>
      </c>
      <c r="C51" s="9">
        <f t="shared" si="2"/>
        <v>55074.455300000001</v>
      </c>
      <c r="D51" s="14" t="str">
        <f t="shared" si="3"/>
        <v>vis</v>
      </c>
      <c r="E51" s="51">
        <f>VLOOKUP(C51,Active!C$21:E$973,3,FALSE)</f>
        <v>19552.264379209366</v>
      </c>
      <c r="F51" s="16" t="s">
        <v>65</v>
      </c>
      <c r="G51" s="14" t="str">
        <f t="shared" si="4"/>
        <v>55074.4553</v>
      </c>
      <c r="H51" s="9">
        <f t="shared" si="5"/>
        <v>19552.5</v>
      </c>
      <c r="I51" s="52" t="s">
        <v>216</v>
      </c>
      <c r="J51" s="53" t="s">
        <v>217</v>
      </c>
      <c r="K51" s="52" t="s">
        <v>218</v>
      </c>
      <c r="L51" s="52" t="s">
        <v>219</v>
      </c>
      <c r="M51" s="53" t="s">
        <v>190</v>
      </c>
      <c r="N51" s="53" t="s">
        <v>197</v>
      </c>
      <c r="O51" s="54" t="s">
        <v>214</v>
      </c>
      <c r="P51" s="55" t="s">
        <v>215</v>
      </c>
    </row>
    <row r="52" spans="1:16" ht="12.75" customHeight="1" thickBot="1">
      <c r="A52" s="9" t="str">
        <f t="shared" si="0"/>
        <v>BAVM 212 </v>
      </c>
      <c r="B52" s="16" t="str">
        <f t="shared" si="1"/>
        <v>II</v>
      </c>
      <c r="C52" s="9">
        <f t="shared" si="2"/>
        <v>55102.308799999999</v>
      </c>
      <c r="D52" s="14" t="str">
        <f t="shared" si="3"/>
        <v>vis</v>
      </c>
      <c r="E52" s="51">
        <f>VLOOKUP(C52,Active!C$21:E$973,3,FALSE)</f>
        <v>19573.259664343783</v>
      </c>
      <c r="F52" s="16" t="s">
        <v>65</v>
      </c>
      <c r="G52" s="14" t="str">
        <f t="shared" si="4"/>
        <v>55102.3088</v>
      </c>
      <c r="H52" s="9">
        <f t="shared" si="5"/>
        <v>19573.5</v>
      </c>
      <c r="I52" s="52" t="s">
        <v>220</v>
      </c>
      <c r="J52" s="53" t="s">
        <v>221</v>
      </c>
      <c r="K52" s="52" t="s">
        <v>222</v>
      </c>
      <c r="L52" s="52" t="s">
        <v>223</v>
      </c>
      <c r="M52" s="53" t="s">
        <v>190</v>
      </c>
      <c r="N52" s="53" t="s">
        <v>197</v>
      </c>
      <c r="O52" s="54" t="s">
        <v>214</v>
      </c>
      <c r="P52" s="55" t="s">
        <v>215</v>
      </c>
    </row>
    <row r="53" spans="1:16" ht="12.75" customHeight="1" thickBot="1">
      <c r="A53" s="9" t="str">
        <f t="shared" si="0"/>
        <v>BAVM 225 </v>
      </c>
      <c r="B53" s="16" t="str">
        <f t="shared" si="1"/>
        <v>I</v>
      </c>
      <c r="C53" s="9">
        <f t="shared" si="2"/>
        <v>55815.378700000001</v>
      </c>
      <c r="D53" s="14" t="str">
        <f t="shared" si="3"/>
        <v>vis</v>
      </c>
      <c r="E53" s="51">
        <f>VLOOKUP(C53,Active!C$21:E$973,3,FALSE)</f>
        <v>20110.75426542696</v>
      </c>
      <c r="F53" s="16" t="s">
        <v>65</v>
      </c>
      <c r="G53" s="14" t="str">
        <f t="shared" si="4"/>
        <v>55815.3787</v>
      </c>
      <c r="H53" s="9">
        <f t="shared" si="5"/>
        <v>20111</v>
      </c>
      <c r="I53" s="52" t="s">
        <v>233</v>
      </c>
      <c r="J53" s="53" t="s">
        <v>234</v>
      </c>
      <c r="K53" s="52" t="s">
        <v>235</v>
      </c>
      <c r="L53" s="52" t="s">
        <v>236</v>
      </c>
      <c r="M53" s="53" t="s">
        <v>190</v>
      </c>
      <c r="N53" s="53" t="s">
        <v>197</v>
      </c>
      <c r="O53" s="54" t="s">
        <v>214</v>
      </c>
      <c r="P53" s="55" t="s">
        <v>237</v>
      </c>
    </row>
    <row r="54" spans="1:16">
      <c r="B54" s="16"/>
      <c r="F54" s="16"/>
    </row>
    <row r="55" spans="1:16">
      <c r="B55" s="16"/>
      <c r="F55" s="16"/>
    </row>
    <row r="56" spans="1:16">
      <c r="B56" s="16"/>
      <c r="F56" s="16"/>
    </row>
    <row r="57" spans="1:16">
      <c r="B57" s="16"/>
      <c r="F57" s="16"/>
    </row>
    <row r="58" spans="1:16">
      <c r="B58" s="16"/>
      <c r="F58" s="16"/>
    </row>
    <row r="59" spans="1:16">
      <c r="B59" s="16"/>
      <c r="F59" s="16"/>
    </row>
    <row r="60" spans="1:16">
      <c r="B60" s="16"/>
      <c r="F60" s="16"/>
    </row>
    <row r="61" spans="1:16">
      <c r="B61" s="16"/>
      <c r="F61" s="16"/>
    </row>
    <row r="62" spans="1:16">
      <c r="B62" s="16"/>
      <c r="F62" s="16"/>
    </row>
    <row r="63" spans="1:16">
      <c r="B63" s="16"/>
      <c r="F63" s="16"/>
    </row>
    <row r="64" spans="1:1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</sheetData>
  <phoneticPr fontId="6" type="noConversion"/>
  <hyperlinks>
    <hyperlink ref="P23" r:id="rId1" display="http://var.astro.cz/oejv/issues/oejv0074.pdf"/>
    <hyperlink ref="P24" r:id="rId2" display="http://www.bav-astro.de/sfs/BAVM_link.php?BAVMnr=183"/>
    <hyperlink ref="P25" r:id="rId3" display="http://www.konkoly.hu/cgi-bin/IBVS?5931"/>
    <hyperlink ref="P26" r:id="rId4" display="http://www.konkoly.hu/cgi-bin/IBVS?5931"/>
    <hyperlink ref="P50" r:id="rId5" display="http://www.bav-astro.de/sfs/BAVM_link.php?BAVMnr=212"/>
    <hyperlink ref="P51" r:id="rId6" display="http://www.bav-astro.de/sfs/BAVM_link.php?BAVMnr=212"/>
    <hyperlink ref="P52" r:id="rId7" display="http://www.bav-astro.de/sfs/BAVM_link.php?BAVMnr=212"/>
    <hyperlink ref="P27" r:id="rId8" display="http://www.bav-astro.de/sfs/BAVM_link.php?BAVMnr=215"/>
    <hyperlink ref="P28" r:id="rId9" display="http://www.bav-astro.de/sfs/BAVM_link.php?BAVMnr=215"/>
    <hyperlink ref="P53" r:id="rId10" display="http://www.bav-astro.de/sfs/BAVM_link.php?BAVMnr=225"/>
    <hyperlink ref="P29" r:id="rId11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2024-01-31T04:19:19Z</dcterms:modified>
</cp:coreProperties>
</file>