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4D8EB77-6450-4E27-9814-7611BC12238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E36" i="1"/>
  <c r="F36" i="1"/>
  <c r="G36" i="1"/>
  <c r="K36" i="1"/>
  <c r="E37" i="1"/>
  <c r="F37" i="1"/>
  <c r="G37" i="1"/>
  <c r="K37" i="1"/>
  <c r="E38" i="1"/>
  <c r="F38" i="1"/>
  <c r="G38" i="1"/>
  <c r="K38" i="1"/>
  <c r="E43" i="1"/>
  <c r="F43" i="1"/>
  <c r="G43" i="1"/>
  <c r="K43" i="1"/>
  <c r="D9" i="1"/>
  <c r="C9" i="1"/>
  <c r="E22" i="1"/>
  <c r="F22" i="1"/>
  <c r="G22" i="1"/>
  <c r="I22" i="1"/>
  <c r="E21" i="1"/>
  <c r="F21" i="1"/>
  <c r="G21" i="1"/>
  <c r="H21" i="1"/>
  <c r="E24" i="1"/>
  <c r="F24" i="1"/>
  <c r="G24" i="1"/>
  <c r="J24" i="1"/>
  <c r="E25" i="1"/>
  <c r="F25" i="1"/>
  <c r="G25" i="1"/>
  <c r="K25" i="1"/>
  <c r="E27" i="1"/>
  <c r="F27" i="1"/>
  <c r="G27" i="1"/>
  <c r="J27" i="1"/>
  <c r="E28" i="1"/>
  <c r="F28" i="1"/>
  <c r="G28" i="1"/>
  <c r="J28" i="1"/>
  <c r="E26" i="1"/>
  <c r="F26" i="1"/>
  <c r="G26" i="1"/>
  <c r="K26" i="1"/>
  <c r="E39" i="1"/>
  <c r="F39" i="1"/>
  <c r="G39" i="1"/>
  <c r="J39" i="1"/>
  <c r="E40" i="1"/>
  <c r="F40" i="1"/>
  <c r="G40" i="1"/>
  <c r="J40" i="1"/>
  <c r="E41" i="1"/>
  <c r="F41" i="1"/>
  <c r="G41" i="1"/>
  <c r="J41" i="1"/>
  <c r="E42" i="1"/>
  <c r="F42" i="1"/>
  <c r="G42" i="1"/>
  <c r="J42" i="1"/>
  <c r="E23" i="1"/>
  <c r="F23" i="1"/>
  <c r="G23" i="1"/>
  <c r="K23" i="1"/>
  <c r="Q29" i="1"/>
  <c r="Q30" i="1"/>
  <c r="Q31" i="1"/>
  <c r="Q32" i="1"/>
  <c r="Q33" i="1"/>
  <c r="Q34" i="1"/>
  <c r="K35" i="1"/>
  <c r="Q35" i="1"/>
  <c r="Q36" i="1"/>
  <c r="Q37" i="1"/>
  <c r="Q38" i="1"/>
  <c r="Q43" i="1"/>
  <c r="G32" i="2"/>
  <c r="C32" i="2"/>
  <c r="E32" i="2"/>
  <c r="G20" i="2"/>
  <c r="C20" i="2"/>
  <c r="E20" i="2"/>
  <c r="G19" i="2"/>
  <c r="C19" i="2"/>
  <c r="E19" i="2"/>
  <c r="G18" i="2"/>
  <c r="C18" i="2"/>
  <c r="E18" i="2"/>
  <c r="G17" i="2"/>
  <c r="C17" i="2"/>
  <c r="E17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16" i="2"/>
  <c r="C16" i="2"/>
  <c r="E16" i="2"/>
  <c r="G15" i="2"/>
  <c r="C15" i="2"/>
  <c r="E15" i="2"/>
  <c r="G14" i="2"/>
  <c r="C14" i="2"/>
  <c r="E14" i="2"/>
  <c r="G13" i="2"/>
  <c r="C13" i="2"/>
  <c r="E13" i="2"/>
  <c r="G21" i="2"/>
  <c r="C21" i="2"/>
  <c r="E21" i="2"/>
  <c r="G12" i="2"/>
  <c r="C12" i="2"/>
  <c r="E12" i="2"/>
  <c r="G11" i="2"/>
  <c r="C11" i="2"/>
  <c r="E11" i="2"/>
  <c r="H32" i="2"/>
  <c r="B32" i="2"/>
  <c r="D32" i="2"/>
  <c r="A32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21" i="2"/>
  <c r="B21" i="2"/>
  <c r="D21" i="2"/>
  <c r="A21" i="2"/>
  <c r="H12" i="2"/>
  <c r="B12" i="2"/>
  <c r="D12" i="2"/>
  <c r="A12" i="2"/>
  <c r="H11" i="2"/>
  <c r="B11" i="2"/>
  <c r="D11" i="2"/>
  <c r="A11" i="2"/>
  <c r="Q39" i="1"/>
  <c r="Q40" i="1"/>
  <c r="Q41" i="1"/>
  <c r="Q42" i="1"/>
  <c r="F16" i="1"/>
  <c r="C17" i="1"/>
  <c r="Q23" i="1"/>
  <c r="Q26" i="1"/>
  <c r="Q27" i="1"/>
  <c r="Q28" i="1"/>
  <c r="Q25" i="1"/>
  <c r="Q24" i="1"/>
  <c r="Q22" i="1"/>
  <c r="Q21" i="1"/>
  <c r="C12" i="1"/>
  <c r="C11" i="1"/>
  <c r="O42" i="1" l="1"/>
  <c r="C15" i="1"/>
  <c r="O31" i="1"/>
  <c r="O34" i="1"/>
  <c r="O23" i="1"/>
  <c r="O43" i="1"/>
  <c r="O40" i="1"/>
  <c r="O26" i="1"/>
  <c r="O35" i="1"/>
  <c r="O32" i="1"/>
  <c r="O36" i="1"/>
  <c r="O25" i="1"/>
  <c r="O41" i="1"/>
  <c r="O30" i="1"/>
  <c r="O28" i="1"/>
  <c r="O38" i="1"/>
  <c r="O21" i="1"/>
  <c r="O22" i="1"/>
  <c r="O33" i="1"/>
  <c r="O27" i="1"/>
  <c r="O29" i="1"/>
  <c r="O39" i="1"/>
  <c r="O37" i="1"/>
  <c r="O24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<sst xmlns="http://schemas.openxmlformats.org/spreadsheetml/2006/main" count="305" uniqueCount="169">
  <si>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</si>
  <si>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</si>
  <si>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</si>
  <si>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</si>
  <si>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</si>
  <si>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</si>
  <si>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</si>
  <si>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</si>
  <si>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</si>
  <si>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</si>
  <si>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</si>
  <si>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</si>
  <si>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</si>
  <si>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</si>
  <si>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</si>
  <si>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</si>
  <si>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</si>
  <si>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</si>
  <si>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</si>
  <si>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</si>
  <si>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</si>
  <si>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</si>
  <si>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</si>
  <si>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</si>
  <si>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</si>
  <si>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</si>
  <si>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</si>
  <si>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</si>
  <si>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S</t>
  </si>
  <si>
    <t>Locher K</t>
  </si>
  <si>
    <t>BBSAG Bull.68</t>
  </si>
  <si>
    <t>B</t>
  </si>
  <si>
    <t>IBVS 5643</t>
  </si>
  <si>
    <t># of data points:</t>
  </si>
  <si>
    <t>IBVS 5653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</si>
  <si>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</si>
  <si>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</si>
  <si>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</si>
  <si>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</si>
  <si>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</si>
  <si>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</si>
  <si>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</si>
  <si>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IBVS 5761</t>
  </si>
  <si>
    <t>Start of linear fit &gt;&gt;&gt;&gt;&gt;&gt;&gt;&gt;&gt;&gt;&gt;&gt;&gt;&gt;&gt;&gt;&gt;&gt;&gt;&gt;&gt;</t>
  </si>
  <si>
    <t>OEJV 0074</t>
  </si>
  <si>
    <t>EA/SD</t>
  </si>
  <si>
    <t>Add cycle</t>
  </si>
  <si>
    <t>Old Cycle</t>
  </si>
  <si>
    <t>IBVS 6010</t>
  </si>
  <si>
    <t>II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</si>
  <si>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</si>
  <si>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</si>
  <si>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</si>
  <si>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</si>
  <si>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</si>
  <si>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</si>
  <si>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</si>
  <si>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</si>
  <si>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</si>
  <si>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</si>
  <si>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</si>
  <si>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</si>
  <si>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2452050.48221 </t>
  </si>
  <si>
    <t> 20.05.2001 23:34 </t>
  </si>
  <si>
    <t> -0.03495 </t>
  </si>
  <si>
    <t>C </t>
  </si>
  <si>
    <t>o</t>
  </si>
  <si>
    <t> J.Šafár </t>
  </si>
  <si>
    <t>OEJV 0074 </t>
  </si>
  <si>
    <t>2452886.5002 </t>
  </si>
  <si>
    <t> 04.09.2003 00:00 </t>
  </si>
  <si>
    <t> -0.0330 </t>
  </si>
  <si>
    <t>E </t>
  </si>
  <si>
    <t>-I</t>
  </si>
  <si>
    <t> F.Agerer </t>
  </si>
  <si>
    <t>BAVM 172 </t>
  </si>
  <si>
    <t>2453246.5214 </t>
  </si>
  <si>
    <t> 29.08.2004 00:30 </t>
  </si>
  <si>
    <t>17758</t>
  </si>
  <si>
    <t> -0.0424 </t>
  </si>
  <si>
    <t>?</t>
  </si>
  <si>
    <t> M.Zejda et al. </t>
  </si>
  <si>
    <t>IBVS 5741 </t>
  </si>
  <si>
    <t>2453266.296 </t>
  </si>
  <si>
    <t> 17.09.2004 19:06 </t>
  </si>
  <si>
    <t>17784</t>
  </si>
  <si>
    <t> -0.037 </t>
  </si>
  <si>
    <t> R.Diethelm </t>
  </si>
  <si>
    <t>IBVS 5653 </t>
  </si>
  <si>
    <t>2453941.4878 </t>
  </si>
  <si>
    <t> 24.07.2006 23:42 </t>
  </si>
  <si>
    <t>18672</t>
  </si>
  <si>
    <t> -0.0452 </t>
  </si>
  <si>
    <t> BBS 133 (=IBVS 5781) </t>
  </si>
  <si>
    <t>2454018.2831 </t>
  </si>
  <si>
    <t> 09.10.2006 18:47 </t>
  </si>
  <si>
    <t>18773</t>
  </si>
  <si>
    <t> -0.0463 </t>
  </si>
  <si>
    <t>BAVM 183 </t>
  </si>
  <si>
    <t>2454062.3847 </t>
  </si>
  <si>
    <t> 22.11.2006 21:13 </t>
  </si>
  <si>
    <t>18831</t>
  </si>
  <si>
    <t> -0.0456 </t>
  </si>
  <si>
    <t>2454658.5052 </t>
  </si>
  <si>
    <t> 11.07.2008 00:07 </t>
  </si>
  <si>
    <t>19615</t>
  </si>
  <si>
    <t> -0.0475 </t>
  </si>
  <si>
    <t>BAVM 203 </t>
  </si>
  <si>
    <t>2454704.5014 </t>
  </si>
  <si>
    <t> 26.08.2008 00:02 </t>
  </si>
  <si>
    <t>19675.5</t>
  </si>
  <si>
    <t> -0.0531 </t>
  </si>
  <si>
    <t>2454706.4081 </t>
  </si>
  <si>
    <t> 27.08.2008 21:47 </t>
  </si>
  <si>
    <t>19678</t>
  </si>
  <si>
    <t> -0.0473 </t>
  </si>
  <si>
    <t>2455042.4851 </t>
  </si>
  <si>
    <t> 29.07.2009 23:38 </t>
  </si>
  <si>
    <t>20120</t>
  </si>
  <si>
    <t> -0.0495 </t>
  </si>
  <si>
    <t>BAVM 212 </t>
  </si>
  <si>
    <t>2455059.5900 </t>
  </si>
  <si>
    <t> 16.08.2009 02:09 </t>
  </si>
  <si>
    <t>20142.5</t>
  </si>
  <si>
    <t> -0.0527 </t>
  </si>
  <si>
    <t>2455064.5350 </t>
  </si>
  <si>
    <t> 21.08.2009 00:50 </t>
  </si>
  <si>
    <t>20149</t>
  </si>
  <si>
    <t> -0.0501 </t>
  </si>
  <si>
    <t>2455074.4198 </t>
  </si>
  <si>
    <t> 30.08.2009 22:04 </t>
  </si>
  <si>
    <t>20162</t>
  </si>
  <si>
    <t> -0.0500 </t>
  </si>
  <si>
    <t>2455083.5444 </t>
  </si>
  <si>
    <t> 09.09.2009 01:03 </t>
  </si>
  <si>
    <t>20174</t>
  </si>
  <si>
    <t> -0.0497 </t>
  </si>
  <si>
    <t>2455102.5535 </t>
  </si>
  <si>
    <t> 28.09.2009 01:17 </t>
  </si>
  <si>
    <t>20199</t>
  </si>
  <si>
    <t> -0.0496 </t>
  </si>
  <si>
    <t>2455108.6340 </t>
  </si>
  <si>
    <t> 04.10.2009 03:12 </t>
  </si>
  <si>
    <t>20207</t>
  </si>
  <si>
    <t> -0.0520 </t>
  </si>
  <si>
    <t>2455391.4888 </t>
  </si>
  <si>
    <t> 13.07.2010 23:43 </t>
  </si>
  <si>
    <t>20579</t>
  </si>
  <si>
    <t> -0.0512 </t>
  </si>
  <si>
    <t>BAVM 215 </t>
  </si>
  <si>
    <t>2455429.5063 </t>
  </si>
  <si>
    <t> 21.08.2010 00:09 </t>
  </si>
  <si>
    <t>20629</t>
  </si>
  <si>
    <t> -0.0517 </t>
  </si>
  <si>
    <t>2455462.5744 </t>
  </si>
  <si>
    <t> 23.09.2010 01:47 </t>
  </si>
  <si>
    <t>20672.5</t>
  </si>
  <si>
    <t> -0.0592 </t>
  </si>
  <si>
    <t>2455691.4528 </t>
  </si>
  <si>
    <t> 09.05.2011 22:52 </t>
  </si>
  <si>
    <t>20973.5</t>
  </si>
  <si>
    <t> -0.0493 </t>
  </si>
  <si>
    <t>BAVM 220 </t>
  </si>
  <si>
    <t>2455815.3887 </t>
  </si>
  <si>
    <t> 10.09.2011 21:19 </t>
  </si>
  <si>
    <t>21136.5</t>
  </si>
  <si>
    <t> -0.0521 </t>
  </si>
  <si>
    <t>BAVM 225 </t>
  </si>
  <si>
    <t>V0635 Cyg / GSC 03595-00470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</si>
</sst>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8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NumberFormat="1" applyFont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V0635 Cyg - O-C Diagr.</a:t>
            </a:r>
          </a:p>
        </c:rich>
      </c:tx>
      <c:layout>
        <c:manualLayout>
          <c:xMode val="edge"/>
          <c:yMode val="edge"/>
          <c:x val="0.3598678523393530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84062571358"/>
          <c:y val="0.14769252958613219"/>
          <c:w val="0.80431307705139188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7691.5</c:v>
                </c:pt>
                <c:pt idx="2">
                  <c:v>16185</c:v>
                </c:pt>
                <c:pt idx="3">
                  <c:v>17284.5</c:v>
                </c:pt>
                <c:pt idx="4">
                  <c:v>17784</c:v>
                </c:pt>
                <c:pt idx="5">
                  <c:v>18672</c:v>
                </c:pt>
                <c:pt idx="6">
                  <c:v>18773</c:v>
                </c:pt>
                <c:pt idx="7">
                  <c:v>18831</c:v>
                </c:pt>
                <c:pt idx="8">
                  <c:v>19615</c:v>
                </c:pt>
                <c:pt idx="9">
                  <c:v>19675.5</c:v>
                </c:pt>
                <c:pt idx="10">
                  <c:v>19678</c:v>
                </c:pt>
                <c:pt idx="11">
                  <c:v>20120</c:v>
                </c:pt>
                <c:pt idx="12">
                  <c:v>20142.5</c:v>
                </c:pt>
                <c:pt idx="13">
                  <c:v>20149</c:v>
                </c:pt>
                <c:pt idx="14">
                  <c:v>20162</c:v>
                </c:pt>
                <c:pt idx="15">
                  <c:v>20174</c:v>
                </c:pt>
                <c:pt idx="16">
                  <c:v>20199</c:v>
                </c:pt>
                <c:pt idx="17">
                  <c:v>20207</c:v>
                </c:pt>
                <c:pt idx="18">
                  <c:v>20579</c:v>
                </c:pt>
                <c:pt idx="19">
                  <c:v>20629</c:v>
                </c:pt>
                <c:pt idx="20">
                  <c:v>20672.5</c:v>
                </c:pt>
                <c:pt idx="21">
                  <c:v>20973.5</c:v>
                </c:pt>
                <c:pt idx="22">
                  <c:v>21136.5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27-426C-9847-A58E018A417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7691.5</c:v>
                </c:pt>
                <c:pt idx="2">
                  <c:v>16185</c:v>
                </c:pt>
                <c:pt idx="3">
                  <c:v>17284.5</c:v>
                </c:pt>
                <c:pt idx="4">
                  <c:v>17784</c:v>
                </c:pt>
                <c:pt idx="5">
                  <c:v>18672</c:v>
                </c:pt>
                <c:pt idx="6">
                  <c:v>18773</c:v>
                </c:pt>
                <c:pt idx="7">
                  <c:v>18831</c:v>
                </c:pt>
                <c:pt idx="8">
                  <c:v>19615</c:v>
                </c:pt>
                <c:pt idx="9">
                  <c:v>19675.5</c:v>
                </c:pt>
                <c:pt idx="10">
                  <c:v>19678</c:v>
                </c:pt>
                <c:pt idx="11">
                  <c:v>20120</c:v>
                </c:pt>
                <c:pt idx="12">
                  <c:v>20142.5</c:v>
                </c:pt>
                <c:pt idx="13">
                  <c:v>20149</c:v>
                </c:pt>
                <c:pt idx="14">
                  <c:v>20162</c:v>
                </c:pt>
                <c:pt idx="15">
                  <c:v>20174</c:v>
                </c:pt>
                <c:pt idx="16">
                  <c:v>20199</c:v>
                </c:pt>
                <c:pt idx="17">
                  <c:v>20207</c:v>
                </c:pt>
                <c:pt idx="18">
                  <c:v>20579</c:v>
                </c:pt>
                <c:pt idx="19">
                  <c:v>20629</c:v>
                </c:pt>
                <c:pt idx="20">
                  <c:v>20672.5</c:v>
                </c:pt>
                <c:pt idx="21">
                  <c:v>20973.5</c:v>
                </c:pt>
                <c:pt idx="22">
                  <c:v>21136.5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-2.7632129997073207E-2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27-426C-9847-A58E018A417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7691.5</c:v>
                </c:pt>
                <c:pt idx="2">
                  <c:v>16185</c:v>
                </c:pt>
                <c:pt idx="3">
                  <c:v>17284.5</c:v>
                </c:pt>
                <c:pt idx="4">
                  <c:v>17784</c:v>
                </c:pt>
                <c:pt idx="5">
                  <c:v>18672</c:v>
                </c:pt>
                <c:pt idx="6">
                  <c:v>18773</c:v>
                </c:pt>
                <c:pt idx="7">
                  <c:v>18831</c:v>
                </c:pt>
                <c:pt idx="8">
                  <c:v>19615</c:v>
                </c:pt>
                <c:pt idx="9">
                  <c:v>19675.5</c:v>
                </c:pt>
                <c:pt idx="10">
                  <c:v>19678</c:v>
                </c:pt>
                <c:pt idx="11">
                  <c:v>20120</c:v>
                </c:pt>
                <c:pt idx="12">
                  <c:v>20142.5</c:v>
                </c:pt>
                <c:pt idx="13">
                  <c:v>20149</c:v>
                </c:pt>
                <c:pt idx="14">
                  <c:v>20162</c:v>
                </c:pt>
                <c:pt idx="15">
                  <c:v>20174</c:v>
                </c:pt>
                <c:pt idx="16">
                  <c:v>20199</c:v>
                </c:pt>
                <c:pt idx="17">
                  <c:v>20207</c:v>
                </c:pt>
                <c:pt idx="18">
                  <c:v>20579</c:v>
                </c:pt>
                <c:pt idx="19">
                  <c:v>20629</c:v>
                </c:pt>
                <c:pt idx="20">
                  <c:v>20672.5</c:v>
                </c:pt>
                <c:pt idx="21">
                  <c:v>20973.5</c:v>
                </c:pt>
                <c:pt idx="22">
                  <c:v>21136.5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">
                  <c:v>-3.3022589996107854E-2</c:v>
                </c:pt>
                <c:pt idx="6">
                  <c:v>-4.631006000272464E-2</c:v>
                </c:pt>
                <c:pt idx="7">
                  <c:v>-4.56028199987486E-2</c:v>
                </c:pt>
                <c:pt idx="18">
                  <c:v>-5.1167379999242257E-2</c:v>
                </c:pt>
                <c:pt idx="19">
                  <c:v>-5.1678379997611046E-2</c:v>
                </c:pt>
                <c:pt idx="20">
                  <c:v>-5.9247950004646555E-2</c:v>
                </c:pt>
                <c:pt idx="21">
                  <c:v>-4.9274169999989681E-2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27-426C-9847-A58E018A417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7691.5</c:v>
                </c:pt>
                <c:pt idx="2">
                  <c:v>16185</c:v>
                </c:pt>
                <c:pt idx="3">
                  <c:v>17284.5</c:v>
                </c:pt>
                <c:pt idx="4">
                  <c:v>17784</c:v>
                </c:pt>
                <c:pt idx="5">
                  <c:v>18672</c:v>
                </c:pt>
                <c:pt idx="6">
                  <c:v>18773</c:v>
                </c:pt>
                <c:pt idx="7">
                  <c:v>18831</c:v>
                </c:pt>
                <c:pt idx="8">
                  <c:v>19615</c:v>
                </c:pt>
                <c:pt idx="9">
                  <c:v>19675.5</c:v>
                </c:pt>
                <c:pt idx="10">
                  <c:v>19678</c:v>
                </c:pt>
                <c:pt idx="11">
                  <c:v>20120</c:v>
                </c:pt>
                <c:pt idx="12">
                  <c:v>20142.5</c:v>
                </c:pt>
                <c:pt idx="13">
                  <c:v>20149</c:v>
                </c:pt>
                <c:pt idx="14">
                  <c:v>20162</c:v>
                </c:pt>
                <c:pt idx="15">
                  <c:v>20174</c:v>
                </c:pt>
                <c:pt idx="16">
                  <c:v>20199</c:v>
                </c:pt>
                <c:pt idx="17">
                  <c:v>20207</c:v>
                </c:pt>
                <c:pt idx="18">
                  <c:v>20579</c:v>
                </c:pt>
                <c:pt idx="19">
                  <c:v>20629</c:v>
                </c:pt>
                <c:pt idx="20">
                  <c:v>20672.5</c:v>
                </c:pt>
                <c:pt idx="21">
                  <c:v>20973.5</c:v>
                </c:pt>
                <c:pt idx="22">
                  <c:v>21136.5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">
                  <c:v>-3.4950699999171775E-2</c:v>
                </c:pt>
                <c:pt idx="4">
                  <c:v>-3.7152479999349453E-2</c:v>
                </c:pt>
                <c:pt idx="5">
                  <c:v>-4.5227839997096453E-2</c:v>
                </c:pt>
                <c:pt idx="8">
                  <c:v>-4.7515300000668503E-2</c:v>
                </c:pt>
                <c:pt idx="9">
                  <c:v>-5.3108610001800116E-2</c:v>
                </c:pt>
                <c:pt idx="10">
                  <c:v>-4.7309159999713302E-2</c:v>
                </c:pt>
                <c:pt idx="11">
                  <c:v>-4.9526399998285342E-2</c:v>
                </c:pt>
                <c:pt idx="12">
                  <c:v>-5.2731350006069988E-2</c:v>
                </c:pt>
                <c:pt idx="13">
                  <c:v>-5.0072779995389283E-2</c:v>
                </c:pt>
                <c:pt idx="14">
                  <c:v>-4.9955639995459933E-2</c:v>
                </c:pt>
                <c:pt idx="15">
                  <c:v>-4.96782800037181E-2</c:v>
                </c:pt>
                <c:pt idx="16">
                  <c:v>-4.9583779997192323E-2</c:v>
                </c:pt>
                <c:pt idx="17">
                  <c:v>-5.1965540005767252E-2</c:v>
                </c:pt>
                <c:pt idx="22">
                  <c:v>-5.209002999617951E-2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27-426C-9847-A58E018A417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7691.5</c:v>
                </c:pt>
                <c:pt idx="2">
                  <c:v>16185</c:v>
                </c:pt>
                <c:pt idx="3">
                  <c:v>17284.5</c:v>
                </c:pt>
                <c:pt idx="4">
                  <c:v>17784</c:v>
                </c:pt>
                <c:pt idx="5">
                  <c:v>18672</c:v>
                </c:pt>
                <c:pt idx="6">
                  <c:v>18773</c:v>
                </c:pt>
                <c:pt idx="7">
                  <c:v>18831</c:v>
                </c:pt>
                <c:pt idx="8">
                  <c:v>19615</c:v>
                </c:pt>
                <c:pt idx="9">
                  <c:v>19675.5</c:v>
                </c:pt>
                <c:pt idx="10">
                  <c:v>19678</c:v>
                </c:pt>
                <c:pt idx="11">
                  <c:v>20120</c:v>
                </c:pt>
                <c:pt idx="12">
                  <c:v>20142.5</c:v>
                </c:pt>
                <c:pt idx="13">
                  <c:v>20149</c:v>
                </c:pt>
                <c:pt idx="14">
                  <c:v>20162</c:v>
                </c:pt>
                <c:pt idx="15">
                  <c:v>20174</c:v>
                </c:pt>
                <c:pt idx="16">
                  <c:v>20199</c:v>
                </c:pt>
                <c:pt idx="17">
                  <c:v>20207</c:v>
                </c:pt>
                <c:pt idx="18">
                  <c:v>20579</c:v>
                </c:pt>
                <c:pt idx="19">
                  <c:v>20629</c:v>
                </c:pt>
                <c:pt idx="20">
                  <c:v>20672.5</c:v>
                </c:pt>
                <c:pt idx="21">
                  <c:v>20973.5</c:v>
                </c:pt>
                <c:pt idx="22">
                  <c:v>21136.5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27-426C-9847-A58E018A417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7691.5</c:v>
                </c:pt>
                <c:pt idx="2">
                  <c:v>16185</c:v>
                </c:pt>
                <c:pt idx="3">
                  <c:v>17284.5</c:v>
                </c:pt>
                <c:pt idx="4">
                  <c:v>17784</c:v>
                </c:pt>
                <c:pt idx="5">
                  <c:v>18672</c:v>
                </c:pt>
                <c:pt idx="6">
                  <c:v>18773</c:v>
                </c:pt>
                <c:pt idx="7">
                  <c:v>18831</c:v>
                </c:pt>
                <c:pt idx="8">
                  <c:v>19615</c:v>
                </c:pt>
                <c:pt idx="9">
                  <c:v>19675.5</c:v>
                </c:pt>
                <c:pt idx="10">
                  <c:v>19678</c:v>
                </c:pt>
                <c:pt idx="11">
                  <c:v>20120</c:v>
                </c:pt>
                <c:pt idx="12">
                  <c:v>20142.5</c:v>
                </c:pt>
                <c:pt idx="13">
                  <c:v>20149</c:v>
                </c:pt>
                <c:pt idx="14">
                  <c:v>20162</c:v>
                </c:pt>
                <c:pt idx="15">
                  <c:v>20174</c:v>
                </c:pt>
                <c:pt idx="16">
                  <c:v>20199</c:v>
                </c:pt>
                <c:pt idx="17">
                  <c:v>20207</c:v>
                </c:pt>
                <c:pt idx="18">
                  <c:v>20579</c:v>
                </c:pt>
                <c:pt idx="19">
                  <c:v>20629</c:v>
                </c:pt>
                <c:pt idx="20">
                  <c:v>20672.5</c:v>
                </c:pt>
                <c:pt idx="21">
                  <c:v>20973.5</c:v>
                </c:pt>
                <c:pt idx="22">
                  <c:v>21136.5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27-426C-9847-A58E018A417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1.9E-3</c:v>
                  </c:pt>
                  <c:pt idx="3">
                    <c:v>3.8E-3</c:v>
                  </c:pt>
                  <c:pt idx="4">
                    <c:v>5.0000000000000001E-3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1.4E-3</c:v>
                  </c:pt>
                  <c:pt idx="19">
                    <c:v>2.0999999999999999E-3</c:v>
                  </c:pt>
                  <c:pt idx="20">
                    <c:v>1.01E-2</c:v>
                  </c:pt>
                  <c:pt idx="21">
                    <c:v>5.1999999999999998E-3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7691.5</c:v>
                </c:pt>
                <c:pt idx="2">
                  <c:v>16185</c:v>
                </c:pt>
                <c:pt idx="3">
                  <c:v>17284.5</c:v>
                </c:pt>
                <c:pt idx="4">
                  <c:v>17784</c:v>
                </c:pt>
                <c:pt idx="5">
                  <c:v>18672</c:v>
                </c:pt>
                <c:pt idx="6">
                  <c:v>18773</c:v>
                </c:pt>
                <c:pt idx="7">
                  <c:v>18831</c:v>
                </c:pt>
                <c:pt idx="8">
                  <c:v>19615</c:v>
                </c:pt>
                <c:pt idx="9">
                  <c:v>19675.5</c:v>
                </c:pt>
                <c:pt idx="10">
                  <c:v>19678</c:v>
                </c:pt>
                <c:pt idx="11">
                  <c:v>20120</c:v>
                </c:pt>
                <c:pt idx="12">
                  <c:v>20142.5</c:v>
                </c:pt>
                <c:pt idx="13">
                  <c:v>20149</c:v>
                </c:pt>
                <c:pt idx="14">
                  <c:v>20162</c:v>
                </c:pt>
                <c:pt idx="15">
                  <c:v>20174</c:v>
                </c:pt>
                <c:pt idx="16">
                  <c:v>20199</c:v>
                </c:pt>
                <c:pt idx="17">
                  <c:v>20207</c:v>
                </c:pt>
                <c:pt idx="18">
                  <c:v>20579</c:v>
                </c:pt>
                <c:pt idx="19">
                  <c:v>20629</c:v>
                </c:pt>
                <c:pt idx="20">
                  <c:v>20672.5</c:v>
                </c:pt>
                <c:pt idx="21">
                  <c:v>20973.5</c:v>
                </c:pt>
                <c:pt idx="22">
                  <c:v>21136.5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27-426C-9847-A58E018A417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7691.5</c:v>
                </c:pt>
                <c:pt idx="2">
                  <c:v>16185</c:v>
                </c:pt>
                <c:pt idx="3">
                  <c:v>17284.5</c:v>
                </c:pt>
                <c:pt idx="4">
                  <c:v>17784</c:v>
                </c:pt>
                <c:pt idx="5">
                  <c:v>18672</c:v>
                </c:pt>
                <c:pt idx="6">
                  <c:v>18773</c:v>
                </c:pt>
                <c:pt idx="7">
                  <c:v>18831</c:v>
                </c:pt>
                <c:pt idx="8">
                  <c:v>19615</c:v>
                </c:pt>
                <c:pt idx="9">
                  <c:v>19675.5</c:v>
                </c:pt>
                <c:pt idx="10">
                  <c:v>19678</c:v>
                </c:pt>
                <c:pt idx="11">
                  <c:v>20120</c:v>
                </c:pt>
                <c:pt idx="12">
                  <c:v>20142.5</c:v>
                </c:pt>
                <c:pt idx="13">
                  <c:v>20149</c:v>
                </c:pt>
                <c:pt idx="14">
                  <c:v>20162</c:v>
                </c:pt>
                <c:pt idx="15">
                  <c:v>20174</c:v>
                </c:pt>
                <c:pt idx="16">
                  <c:v>20199</c:v>
                </c:pt>
                <c:pt idx="17">
                  <c:v>20207</c:v>
                </c:pt>
                <c:pt idx="18">
                  <c:v>20579</c:v>
                </c:pt>
                <c:pt idx="19">
                  <c:v>20629</c:v>
                </c:pt>
                <c:pt idx="20">
                  <c:v>20672.5</c:v>
                </c:pt>
                <c:pt idx="21">
                  <c:v>20973.5</c:v>
                </c:pt>
                <c:pt idx="22">
                  <c:v>21136.5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3.8678232448227309E-2</c:v>
                </c:pt>
                <c:pt idx="1">
                  <c:v>4.6826155898713473E-3</c:v>
                </c:pt>
                <c:pt idx="2">
                  <c:v>-3.2857756481434172E-2</c:v>
                </c:pt>
                <c:pt idx="3">
                  <c:v>-3.7717430242828226E-2</c:v>
                </c:pt>
                <c:pt idx="4">
                  <c:v>-3.9925167435930844E-2</c:v>
                </c:pt>
                <c:pt idx="5">
                  <c:v>-4.3850033557002177E-2</c:v>
                </c:pt>
                <c:pt idx="6">
                  <c:v>-4.4296442879331224E-2</c:v>
                </c:pt>
                <c:pt idx="7">
                  <c:v>-4.4552796747599405E-2</c:v>
                </c:pt>
                <c:pt idx="8">
                  <c:v>-4.8017993863500211E-2</c:v>
                </c:pt>
                <c:pt idx="9">
                  <c:v>-4.8285397467469598E-2</c:v>
                </c:pt>
                <c:pt idx="10">
                  <c:v>-4.8296447203170806E-2</c:v>
                </c:pt>
                <c:pt idx="11">
                  <c:v>-5.0250040475145502E-2</c:v>
                </c:pt>
                <c:pt idx="12">
                  <c:v>-5.0349488096456424E-2</c:v>
                </c:pt>
                <c:pt idx="13">
                  <c:v>-5.0378217409279585E-2</c:v>
                </c:pt>
                <c:pt idx="14">
                  <c:v>-5.0435676034925908E-2</c:v>
                </c:pt>
                <c:pt idx="15">
                  <c:v>-5.0488714766291728E-2</c:v>
                </c:pt>
                <c:pt idx="16">
                  <c:v>-5.0599212123303872E-2</c:v>
                </c:pt>
                <c:pt idx="17">
                  <c:v>-5.0634571277547766E-2</c:v>
                </c:pt>
                <c:pt idx="18">
                  <c:v>-5.2278771949888447E-2</c:v>
                </c:pt>
                <c:pt idx="19">
                  <c:v>-5.2499766663912734E-2</c:v>
                </c:pt>
                <c:pt idx="20">
                  <c:v>-5.2692032065113872E-2</c:v>
                </c:pt>
                <c:pt idx="21">
                  <c:v>-5.4022420243540065E-2</c:v>
                </c:pt>
                <c:pt idx="22">
                  <c:v>-5.4742863011259246E-2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27-426C-9847-A58E018A4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417336"/>
        <c:axId val="1"/>
      </c:scatterChart>
      <c:valAx>
        <c:axId val="882417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473050321445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417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95557209577656"/>
          <c:y val="0.92000129214617399"/>
          <c:w val="0.6932017079954557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95250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535B39-2108-DA40-FC9C-85F7310C4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3" TargetMode="External"/><Relationship Id="rId13" Type="http://schemas.openxmlformats.org/officeDocument/2006/relationships/hyperlink" Target="http://www.bav-astro.de/sfs/BAVM_link.php?BAVMnr=212" TargetMode="External"/><Relationship Id="rId1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5741" TargetMode="External"/><Relationship Id="rId21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203" TargetMode="External"/><Relationship Id="rId12" Type="http://schemas.openxmlformats.org/officeDocument/2006/relationships/hyperlink" Target="http://www.bav-astro.de/sfs/BAVM_link.php?BAVMnr=212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172" TargetMode="External"/><Relationship Id="rId16" Type="http://schemas.openxmlformats.org/officeDocument/2006/relationships/hyperlink" Target="http://www.bav-astro.de/sfs/BAVM_link.php?BAVMnr=212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183" TargetMode="External"/><Relationship Id="rId1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183" TargetMode="External"/><Relationship Id="rId15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www.bav-astro.de/sfs/BAVM_link.php?BAVMnr=212" TargetMode="External"/><Relationship Id="rId19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konkoly.hu/cgi-bin/IBVS?5653" TargetMode="External"/><Relationship Id="rId9" Type="http://schemas.openxmlformats.org/officeDocument/2006/relationships/hyperlink" Target="http://www.bav-astro.de/sfs/BAVM_link.php?BAVMnr=203" TargetMode="External"/><Relationship Id="rId1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workbookViewId="0">
      <pane xSplit="11" ySplit="22" topLeftCell="L23" activePane="bottomRight" state="frozen"/>
      <selection pane="topRight" activeCell="L1" sqref="L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57" t="s">
        <v>168</v>
      </c>
    </row>
    <row r="2" spans="1:6" x14ac:dyDescent="0.2">
      <c r="A2" t="s">
        <v>24</v>
      </c>
      <c r="B2" s="38" t="s">
        <v>45</v>
      </c>
    </row>
    <row r="4" spans="1:6" ht="14.25" thickTop="1" thickBot="1" x14ac:dyDescent="0.25">
      <c r="A4" s="6" t="s">
        <v>0</v>
      </c>
      <c r="C4" s="2">
        <v>39744.087</v>
      </c>
      <c r="D4" s="3">
        <v>0.76036022000000003</v>
      </c>
    </row>
    <row r="5" spans="1:6" ht="13.5" thickTop="1" x14ac:dyDescent="0.2">
      <c r="A5" s="16" t="s">
        <v>36</v>
      </c>
      <c r="B5" s="17"/>
      <c r="C5" s="18">
        <v>-9.5</v>
      </c>
      <c r="D5" s="17" t="s">
        <v>37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39744.087</v>
      </c>
    </row>
    <row r="8" spans="1:6" x14ac:dyDescent="0.2">
      <c r="A8" t="s">
        <v>3</v>
      </c>
      <c r="C8">
        <f>+D4</f>
        <v>0.76036022000000003</v>
      </c>
    </row>
    <row r="9" spans="1:6" x14ac:dyDescent="0.2">
      <c r="A9" s="34" t="s">
        <v>43</v>
      </c>
      <c r="B9" s="35">
        <v>23</v>
      </c>
      <c r="C9" s="32" t="str">
        <f>"F"&amp;B9</f>
        <v>F23</v>
      </c>
      <c r="D9" s="33" t="str">
        <f>"G"&amp;B9</f>
        <v>G23</v>
      </c>
    </row>
    <row r="10" spans="1:6" ht="13.5" thickBot="1" x14ac:dyDescent="0.25">
      <c r="A10" s="17"/>
      <c r="B10" s="17"/>
      <c r="C10" s="5" t="s">
        <v>20</v>
      </c>
      <c r="D10" s="5" t="s">
        <v>21</v>
      </c>
      <c r="E10" s="17"/>
    </row>
    <row r="11" spans="1:6" x14ac:dyDescent="0.2">
      <c r="A11" s="17" t="s">
        <v>16</v>
      </c>
      <c r="B11" s="17"/>
      <c r="C11" s="31">
        <f ca="1">INTERCEPT(INDIRECT($D$9):G991,INDIRECT($C$9):F991)</f>
        <v>3.8678232448227309E-2</v>
      </c>
      <c r="D11" s="4"/>
      <c r="E11" s="17"/>
    </row>
    <row r="12" spans="1:6" x14ac:dyDescent="0.2">
      <c r="A12" s="17" t="s">
        <v>17</v>
      </c>
      <c r="B12" s="17"/>
      <c r="C12" s="31">
        <f ca="1">SLOPE(INDIRECT($D$9):G991,INDIRECT($C$9):F991)</f>
        <v>-4.4198942804857262E-6</v>
      </c>
      <c r="D12" s="4"/>
      <c r="E12" s="17"/>
    </row>
    <row r="13" spans="1:6" x14ac:dyDescent="0.2">
      <c r="A13" s="17" t="s">
        <v>19</v>
      </c>
      <c r="B13" s="17"/>
      <c r="C13" s="4" t="s">
        <v>14</v>
      </c>
    </row>
    <row r="14" spans="1:6" x14ac:dyDescent="0.2">
      <c r="A14" s="17"/>
      <c r="B14" s="17"/>
      <c r="C14" s="17"/>
    </row>
    <row r="15" spans="1:6" x14ac:dyDescent="0.2">
      <c r="A15" s="19" t="s">
        <v>18</v>
      </c>
      <c r="B15" s="17"/>
      <c r="C15" s="20">
        <f ca="1">(C7+C11)+(C8+C12)*INT(MAX(F21:F3532))</f>
        <v>55815.005869266941</v>
      </c>
      <c r="E15" s="21" t="s">
        <v>46</v>
      </c>
      <c r="F15" s="18">
        <v>1</v>
      </c>
    </row>
    <row r="16" spans="1:6" x14ac:dyDescent="0.2">
      <c r="A16" s="23" t="s">
        <v>4</v>
      </c>
      <c r="B16" s="17"/>
      <c r="C16" s="24">
        <f ca="1">+C8+C12</f>
        <v>0.76035580010571957</v>
      </c>
      <c r="E16" s="21" t="s">
        <v>38</v>
      </c>
      <c r="F16" s="22">
        <f ca="1">NOW()+15018.5+$C$5/24</f>
        <v>60340.726360995366</v>
      </c>
    </row>
    <row r="17" spans="1:30" ht="13.5" thickBot="1" x14ac:dyDescent="0.25">
      <c r="A17" s="21" t="s">
        <v>33</v>
      </c>
      <c r="B17" s="17"/>
      <c r="C17" s="17">
        <f>COUNT(C21:C2190)</f>
        <v>23</v>
      </c>
      <c r="E17" s="21" t="s">
        <v>47</v>
      </c>
      <c r="F17" s="22">
        <f ca="1">ROUND(2*(F16-$C$7)/$C$8,0)/2+F15</f>
        <v>27089</v>
      </c>
    </row>
    <row r="18" spans="1:30" ht="14.25" thickTop="1" thickBot="1" x14ac:dyDescent="0.25">
      <c r="A18" s="23" t="s">
        <v>5</v>
      </c>
      <c r="B18" s="17"/>
      <c r="C18" s="26">
        <f ca="1">+C15</f>
        <v>55815.005869266941</v>
      </c>
      <c r="D18" s="27">
        <f ca="1">+C16</f>
        <v>0.76035580010571957</v>
      </c>
      <c r="E18" s="21" t="s">
        <v>39</v>
      </c>
      <c r="F18" s="33">
        <f ca="1">ROUND(2*(F16-$C$15)/$C$16,0)/2+F15</f>
        <v>5953</v>
      </c>
    </row>
    <row r="19" spans="1:30" ht="13.5" thickTop="1" x14ac:dyDescent="0.2">
      <c r="E19" s="21" t="s">
        <v>40</v>
      </c>
      <c r="F19" s="25">
        <f ca="1">+$C$15+$C$16*F18-15018.5-$C$5/24</f>
        <v>45323.299780629626</v>
      </c>
    </row>
    <row r="20" spans="1:30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58</v>
      </c>
      <c r="I20" s="8" t="s">
        <v>61</v>
      </c>
      <c r="J20" s="8" t="s">
        <v>55</v>
      </c>
      <c r="K20" s="8" t="s">
        <v>53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0" x14ac:dyDescent="0.2">
      <c r="A21" t="s">
        <v>12</v>
      </c>
      <c r="C21" s="14">
        <v>39744.087</v>
      </c>
      <c r="D21" s="14" t="s">
        <v>14</v>
      </c>
      <c r="E21">
        <f t="shared" ref="E21:E43" si="0">+(C21-C$7)/C$8</f>
        <v>0</v>
      </c>
      <c r="F21">
        <f t="shared" ref="F21:F43" si="1">ROUND(2*E21,0)/2</f>
        <v>0</v>
      </c>
      <c r="G21">
        <f t="shared" ref="G21:G43" si="2">+C21-(C$7+F21*C$8)</f>
        <v>0</v>
      </c>
      <c r="H21">
        <f>+G21</f>
        <v>0</v>
      </c>
      <c r="O21">
        <f t="shared" ref="O21:O43" ca="1" si="3">+C$11+C$12*F21</f>
        <v>3.8678232448227309E-2</v>
      </c>
      <c r="Q21" s="1">
        <f t="shared" ref="Q21:Q43" si="4">+C21-15018.5</f>
        <v>24725.587</v>
      </c>
    </row>
    <row r="22" spans="1:30" x14ac:dyDescent="0.2">
      <c r="A22" t="s">
        <v>30</v>
      </c>
      <c r="B22" t="s">
        <v>28</v>
      </c>
      <c r="C22" s="14">
        <v>45592.37</v>
      </c>
      <c r="D22" s="14"/>
      <c r="E22">
        <f t="shared" si="0"/>
        <v>7691.4636591588169</v>
      </c>
      <c r="F22">
        <f t="shared" si="1"/>
        <v>7691.5</v>
      </c>
      <c r="G22">
        <f t="shared" si="2"/>
        <v>-2.7632129997073207E-2</v>
      </c>
      <c r="I22">
        <f>+G22</f>
        <v>-2.7632129997073207E-2</v>
      </c>
      <c r="O22">
        <f t="shared" ca="1" si="3"/>
        <v>4.6826155898713473E-3</v>
      </c>
      <c r="Q22" s="1">
        <f t="shared" si="4"/>
        <v>30573.870000000003</v>
      </c>
      <c r="AA22">
        <v>4</v>
      </c>
      <c r="AB22" t="s">
        <v>29</v>
      </c>
      <c r="AD22" t="s">
        <v>31</v>
      </c>
    </row>
    <row r="23" spans="1:30" x14ac:dyDescent="0.2">
      <c r="A23" s="36" t="s">
        <v>44</v>
      </c>
      <c r="B23" s="37" t="s">
        <v>35</v>
      </c>
      <c r="C23" s="36">
        <v>52050.482210000002</v>
      </c>
      <c r="D23" s="36">
        <v>1.9E-3</v>
      </c>
      <c r="E23">
        <f t="shared" si="0"/>
        <v>16184.954034023507</v>
      </c>
      <c r="F23">
        <f t="shared" si="1"/>
        <v>16185</v>
      </c>
      <c r="G23">
        <f t="shared" si="2"/>
        <v>-3.4950699999171775E-2</v>
      </c>
      <c r="K23">
        <f>+G23</f>
        <v>-3.4950699999171775E-2</v>
      </c>
      <c r="O23">
        <f t="shared" ca="1" si="3"/>
        <v>-3.2857756481434172E-2</v>
      </c>
      <c r="Q23" s="1">
        <f t="shared" si="4"/>
        <v>37031.982210000002</v>
      </c>
    </row>
    <row r="24" spans="1:30" x14ac:dyDescent="0.2">
      <c r="A24" s="9" t="s">
        <v>32</v>
      </c>
      <c r="B24" s="10"/>
      <c r="C24" s="15">
        <v>52886.500200000002</v>
      </c>
      <c r="D24" s="15">
        <v>3.8E-3</v>
      </c>
      <c r="E24">
        <f t="shared" si="0"/>
        <v>17284.456569808455</v>
      </c>
      <c r="F24">
        <f t="shared" si="1"/>
        <v>17284.5</v>
      </c>
      <c r="G24">
        <f t="shared" si="2"/>
        <v>-3.3022589996107854E-2</v>
      </c>
      <c r="J24">
        <f>+G24</f>
        <v>-3.3022589996107854E-2</v>
      </c>
      <c r="O24">
        <f t="shared" ca="1" si="3"/>
        <v>-3.7717430242828226E-2</v>
      </c>
      <c r="Q24" s="1">
        <f t="shared" si="4"/>
        <v>37868.000200000002</v>
      </c>
    </row>
    <row r="25" spans="1:30" x14ac:dyDescent="0.2">
      <c r="A25" s="11" t="s">
        <v>34</v>
      </c>
      <c r="B25" s="12" t="s">
        <v>35</v>
      </c>
      <c r="C25" s="13">
        <v>53266.296000000002</v>
      </c>
      <c r="D25" s="13">
        <v>5.0000000000000001E-3</v>
      </c>
      <c r="E25">
        <f t="shared" si="0"/>
        <v>17783.95113831705</v>
      </c>
      <c r="F25">
        <f t="shared" si="1"/>
        <v>17784</v>
      </c>
      <c r="G25">
        <f t="shared" si="2"/>
        <v>-3.7152479999349453E-2</v>
      </c>
      <c r="K25">
        <f>+G25</f>
        <v>-3.7152479999349453E-2</v>
      </c>
      <c r="O25">
        <f t="shared" ca="1" si="3"/>
        <v>-3.9925167435930844E-2</v>
      </c>
      <c r="Q25" s="1">
        <f t="shared" si="4"/>
        <v>38247.796000000002</v>
      </c>
    </row>
    <row r="26" spans="1:30" x14ac:dyDescent="0.2">
      <c r="A26" s="28" t="s">
        <v>41</v>
      </c>
      <c r="B26" s="4" t="s">
        <v>35</v>
      </c>
      <c r="C26" s="29">
        <v>53941.487800000003</v>
      </c>
      <c r="D26" s="29">
        <v>2.9999999999999997E-4</v>
      </c>
      <c r="E26">
        <f t="shared" si="0"/>
        <v>18671.940517877174</v>
      </c>
      <c r="F26">
        <f t="shared" si="1"/>
        <v>18672</v>
      </c>
      <c r="G26">
        <f t="shared" si="2"/>
        <v>-4.5227839997096453E-2</v>
      </c>
      <c r="K26">
        <f>+G26</f>
        <v>-4.5227839997096453E-2</v>
      </c>
      <c r="O26">
        <f t="shared" ca="1" si="3"/>
        <v>-4.3850033557002177E-2</v>
      </c>
      <c r="Q26" s="1">
        <f t="shared" si="4"/>
        <v>38922.987800000003</v>
      </c>
    </row>
    <row r="27" spans="1:30" x14ac:dyDescent="0.2">
      <c r="A27" s="11" t="s">
        <v>42</v>
      </c>
      <c r="B27" s="30" t="s">
        <v>35</v>
      </c>
      <c r="C27" s="29">
        <v>54018.283100000001</v>
      </c>
      <c r="D27" s="29">
        <v>1E-4</v>
      </c>
      <c r="E27">
        <f t="shared" si="0"/>
        <v>18772.939094578094</v>
      </c>
      <c r="F27">
        <f t="shared" si="1"/>
        <v>18773</v>
      </c>
      <c r="G27">
        <f t="shared" si="2"/>
        <v>-4.631006000272464E-2</v>
      </c>
      <c r="J27">
        <f>+G27</f>
        <v>-4.631006000272464E-2</v>
      </c>
      <c r="O27">
        <f t="shared" ca="1" si="3"/>
        <v>-4.4296442879331224E-2</v>
      </c>
      <c r="Q27" s="1">
        <f t="shared" si="4"/>
        <v>38999.783100000001</v>
      </c>
    </row>
    <row r="28" spans="1:30" x14ac:dyDescent="0.2">
      <c r="A28" s="11" t="s">
        <v>42</v>
      </c>
      <c r="B28" s="30" t="s">
        <v>35</v>
      </c>
      <c r="C28" s="29">
        <v>54062.384700000002</v>
      </c>
      <c r="D28" s="29">
        <v>8.0000000000000004E-4</v>
      </c>
      <c r="E28">
        <f t="shared" si="0"/>
        <v>18830.940024716183</v>
      </c>
      <c r="F28">
        <f t="shared" si="1"/>
        <v>18831</v>
      </c>
      <c r="G28">
        <f t="shared" si="2"/>
        <v>-4.56028199987486E-2</v>
      </c>
      <c r="J28">
        <f>+G28</f>
        <v>-4.56028199987486E-2</v>
      </c>
      <c r="O28">
        <f t="shared" ca="1" si="3"/>
        <v>-4.4552796747599405E-2</v>
      </c>
      <c r="Q28" s="1">
        <f t="shared" si="4"/>
        <v>39043.884700000002</v>
      </c>
    </row>
    <row r="29" spans="1:30" x14ac:dyDescent="0.2">
      <c r="A29" s="55" t="s">
        <v>107</v>
      </c>
      <c r="B29" s="56" t="s">
        <v>35</v>
      </c>
      <c r="C29" s="55">
        <v>54658.5052</v>
      </c>
      <c r="D29" s="55" t="s">
        <v>61</v>
      </c>
      <c r="E29">
        <f t="shared" si="0"/>
        <v>19614.937509487278</v>
      </c>
      <c r="F29">
        <f t="shared" si="1"/>
        <v>19615</v>
      </c>
      <c r="G29">
        <f t="shared" si="2"/>
        <v>-4.7515300000668503E-2</v>
      </c>
      <c r="K29">
        <f t="shared" ref="K29:K38" si="5">+G29</f>
        <v>-4.7515300000668503E-2</v>
      </c>
      <c r="O29">
        <f t="shared" ca="1" si="3"/>
        <v>-4.8017993863500211E-2</v>
      </c>
      <c r="Q29" s="1">
        <f t="shared" si="4"/>
        <v>39640.0052</v>
      </c>
    </row>
    <row r="30" spans="1:30" x14ac:dyDescent="0.2">
      <c r="A30" s="55" t="s">
        <v>107</v>
      </c>
      <c r="B30" s="56" t="s">
        <v>49</v>
      </c>
      <c r="C30" s="55">
        <v>54704.501400000001</v>
      </c>
      <c r="D30" s="55" t="s">
        <v>61</v>
      </c>
      <c r="E30">
        <f t="shared" si="0"/>
        <v>19675.430153355472</v>
      </c>
      <c r="F30">
        <f t="shared" si="1"/>
        <v>19675.5</v>
      </c>
      <c r="G30">
        <f t="shared" si="2"/>
        <v>-5.3108610001800116E-2</v>
      </c>
      <c r="K30">
        <f t="shared" si="5"/>
        <v>-5.3108610001800116E-2</v>
      </c>
      <c r="O30">
        <f t="shared" ca="1" si="3"/>
        <v>-4.8285397467469598E-2</v>
      </c>
      <c r="Q30" s="1">
        <f t="shared" si="4"/>
        <v>39686.001400000001</v>
      </c>
    </row>
    <row r="31" spans="1:30" x14ac:dyDescent="0.2">
      <c r="A31" s="55" t="s">
        <v>107</v>
      </c>
      <c r="B31" s="56" t="s">
        <v>35</v>
      </c>
      <c r="C31" s="55">
        <v>54706.408100000001</v>
      </c>
      <c r="D31" s="55" t="s">
        <v>61</v>
      </c>
      <c r="E31">
        <f t="shared" si="0"/>
        <v>19677.937780595625</v>
      </c>
      <c r="F31">
        <f t="shared" si="1"/>
        <v>19678</v>
      </c>
      <c r="G31">
        <f t="shared" si="2"/>
        <v>-4.7309159999713302E-2</v>
      </c>
      <c r="K31">
        <f t="shared" si="5"/>
        <v>-4.7309159999713302E-2</v>
      </c>
      <c r="O31">
        <f t="shared" ca="1" si="3"/>
        <v>-4.8296447203170806E-2</v>
      </c>
      <c r="Q31" s="1">
        <f t="shared" si="4"/>
        <v>39687.908100000001</v>
      </c>
    </row>
    <row r="32" spans="1:30" x14ac:dyDescent="0.2">
      <c r="A32" s="55" t="s">
        <v>120</v>
      </c>
      <c r="B32" s="56" t="s">
        <v>35</v>
      </c>
      <c r="C32" s="55">
        <v>55042.485099999998</v>
      </c>
      <c r="D32" s="55" t="s">
        <v>61</v>
      </c>
      <c r="E32">
        <f t="shared" si="0"/>
        <v>20119.934864556693</v>
      </c>
      <c r="F32">
        <f t="shared" si="1"/>
        <v>20120</v>
      </c>
      <c r="G32">
        <f t="shared" si="2"/>
        <v>-4.9526399998285342E-2</v>
      </c>
      <c r="K32">
        <f t="shared" si="5"/>
        <v>-4.9526399998285342E-2</v>
      </c>
      <c r="O32">
        <f t="shared" ca="1" si="3"/>
        <v>-5.0250040475145502E-2</v>
      </c>
      <c r="Q32" s="1">
        <f t="shared" si="4"/>
        <v>40023.985099999998</v>
      </c>
    </row>
    <row r="33" spans="1:17" x14ac:dyDescent="0.2">
      <c r="A33" s="55" t="s">
        <v>120</v>
      </c>
      <c r="B33" s="56" t="s">
        <v>49</v>
      </c>
      <c r="C33" s="55">
        <v>55059.59</v>
      </c>
      <c r="D33" s="55" t="s">
        <v>61</v>
      </c>
      <c r="E33">
        <f t="shared" si="0"/>
        <v>20142.430649515038</v>
      </c>
      <c r="F33">
        <f t="shared" si="1"/>
        <v>20142.5</v>
      </c>
      <c r="G33">
        <f t="shared" si="2"/>
        <v>-5.2731350006069988E-2</v>
      </c>
      <c r="K33">
        <f t="shared" si="5"/>
        <v>-5.2731350006069988E-2</v>
      </c>
      <c r="O33">
        <f t="shared" ca="1" si="3"/>
        <v>-5.0349488096456424E-2</v>
      </c>
      <c r="Q33" s="1">
        <f t="shared" si="4"/>
        <v>40041.089999999997</v>
      </c>
    </row>
    <row r="34" spans="1:17" x14ac:dyDescent="0.2">
      <c r="A34" s="55" t="s">
        <v>120</v>
      </c>
      <c r="B34" s="56" t="s">
        <v>35</v>
      </c>
      <c r="C34" s="55">
        <v>55064.535000000003</v>
      </c>
      <c r="D34" s="55" t="s">
        <v>61</v>
      </c>
      <c r="E34">
        <f t="shared" si="0"/>
        <v>20148.934145976236</v>
      </c>
      <c r="F34">
        <f t="shared" si="1"/>
        <v>20149</v>
      </c>
      <c r="G34">
        <f t="shared" si="2"/>
        <v>-5.0072779995389283E-2</v>
      </c>
      <c r="K34">
        <f t="shared" si="5"/>
        <v>-5.0072779995389283E-2</v>
      </c>
      <c r="O34">
        <f t="shared" ca="1" si="3"/>
        <v>-5.0378217409279585E-2</v>
      </c>
      <c r="Q34" s="1">
        <f t="shared" si="4"/>
        <v>40046.035000000003</v>
      </c>
    </row>
    <row r="35" spans="1:17" x14ac:dyDescent="0.2">
      <c r="A35" s="55" t="s">
        <v>120</v>
      </c>
      <c r="B35" s="56" t="s">
        <v>35</v>
      </c>
      <c r="C35" s="55">
        <v>55074.419800000003</v>
      </c>
      <c r="D35" s="55" t="s">
        <v>61</v>
      </c>
      <c r="E35">
        <f t="shared" si="0"/>
        <v>20161.934300034794</v>
      </c>
      <c r="F35">
        <f t="shared" si="1"/>
        <v>20162</v>
      </c>
      <c r="G35">
        <f t="shared" si="2"/>
        <v>-4.9955639995459933E-2</v>
      </c>
      <c r="K35">
        <f t="shared" si="5"/>
        <v>-4.9955639995459933E-2</v>
      </c>
      <c r="O35">
        <f t="shared" ca="1" si="3"/>
        <v>-5.0435676034925908E-2</v>
      </c>
      <c r="Q35" s="1">
        <f t="shared" si="4"/>
        <v>40055.919800000003</v>
      </c>
    </row>
    <row r="36" spans="1:17" x14ac:dyDescent="0.2">
      <c r="A36" s="55" t="s">
        <v>120</v>
      </c>
      <c r="B36" s="56" t="s">
        <v>35</v>
      </c>
      <c r="C36" s="55">
        <v>55083.544399999999</v>
      </c>
      <c r="D36" s="55" t="s">
        <v>61</v>
      </c>
      <c r="E36">
        <f t="shared" si="0"/>
        <v>20173.934664809265</v>
      </c>
      <c r="F36">
        <f t="shared" si="1"/>
        <v>20174</v>
      </c>
      <c r="G36">
        <f t="shared" si="2"/>
        <v>-4.96782800037181E-2</v>
      </c>
      <c r="K36">
        <f t="shared" si="5"/>
        <v>-4.96782800037181E-2</v>
      </c>
      <c r="O36">
        <f t="shared" ca="1" si="3"/>
        <v>-5.0488714766291728E-2</v>
      </c>
      <c r="Q36" s="1">
        <f t="shared" si="4"/>
        <v>40065.044399999999</v>
      </c>
    </row>
    <row r="37" spans="1:17" x14ac:dyDescent="0.2">
      <c r="A37" s="55" t="s">
        <v>120</v>
      </c>
      <c r="B37" s="56" t="s">
        <v>35</v>
      </c>
      <c r="C37" s="55">
        <v>55102.553500000002</v>
      </c>
      <c r="D37" s="55" t="s">
        <v>61</v>
      </c>
      <c r="E37">
        <f t="shared" si="0"/>
        <v>20198.934789092466</v>
      </c>
      <c r="F37">
        <f t="shared" si="1"/>
        <v>20199</v>
      </c>
      <c r="G37">
        <f t="shared" si="2"/>
        <v>-4.9583779997192323E-2</v>
      </c>
      <c r="K37">
        <f t="shared" si="5"/>
        <v>-4.9583779997192323E-2</v>
      </c>
      <c r="O37">
        <f t="shared" ca="1" si="3"/>
        <v>-5.0599212123303872E-2</v>
      </c>
      <c r="Q37" s="1">
        <f t="shared" si="4"/>
        <v>40084.053500000002</v>
      </c>
    </row>
    <row r="38" spans="1:17" x14ac:dyDescent="0.2">
      <c r="A38" s="55" t="s">
        <v>120</v>
      </c>
      <c r="B38" s="56" t="s">
        <v>35</v>
      </c>
      <c r="C38" s="55">
        <v>55108.633999999998</v>
      </c>
      <c r="D38" s="55" t="s">
        <v>61</v>
      </c>
      <c r="E38">
        <f t="shared" si="0"/>
        <v>20206.931656682405</v>
      </c>
      <c r="F38">
        <f t="shared" si="1"/>
        <v>20207</v>
      </c>
      <c r="G38">
        <f t="shared" si="2"/>
        <v>-5.1965540005767252E-2</v>
      </c>
      <c r="K38">
        <f t="shared" si="5"/>
        <v>-5.1965540005767252E-2</v>
      </c>
      <c r="O38">
        <f t="shared" ca="1" si="3"/>
        <v>-5.0634571277547766E-2</v>
      </c>
      <c r="Q38" s="1">
        <f t="shared" si="4"/>
        <v>40090.133999999998</v>
      </c>
    </row>
    <row r="39" spans="1:17" x14ac:dyDescent="0.2">
      <c r="A39" s="40" t="s">
        <v>50</v>
      </c>
      <c r="B39" s="40"/>
      <c r="C39" s="41">
        <v>55391.488799999999</v>
      </c>
      <c r="D39" s="41">
        <v>1.4E-3</v>
      </c>
      <c r="E39">
        <f t="shared" si="0"/>
        <v>20578.932706395397</v>
      </c>
      <c r="F39">
        <f t="shared" si="1"/>
        <v>20579</v>
      </c>
      <c r="G39">
        <f t="shared" si="2"/>
        <v>-5.1167379999242257E-2</v>
      </c>
      <c r="J39">
        <f>+G39</f>
        <v>-5.1167379999242257E-2</v>
      </c>
      <c r="O39">
        <f t="shared" ca="1" si="3"/>
        <v>-5.2278771949888447E-2</v>
      </c>
      <c r="Q39" s="1">
        <f t="shared" si="4"/>
        <v>40372.988799999999</v>
      </c>
    </row>
    <row r="40" spans="1:17" x14ac:dyDescent="0.2">
      <c r="A40" s="40" t="s">
        <v>50</v>
      </c>
      <c r="B40" s="40"/>
      <c r="C40" s="41">
        <v>55429.506300000001</v>
      </c>
      <c r="D40" s="41">
        <v>2.0999999999999999E-3</v>
      </c>
      <c r="E40">
        <f t="shared" si="0"/>
        <v>20628.932034345511</v>
      </c>
      <c r="F40">
        <f t="shared" si="1"/>
        <v>20629</v>
      </c>
      <c r="G40">
        <f t="shared" si="2"/>
        <v>-5.1678379997611046E-2</v>
      </c>
      <c r="J40">
        <f>+G40</f>
        <v>-5.1678379997611046E-2</v>
      </c>
      <c r="O40">
        <f t="shared" ca="1" si="3"/>
        <v>-5.2499766663912734E-2</v>
      </c>
      <c r="Q40" s="1">
        <f t="shared" si="4"/>
        <v>40411.006300000001</v>
      </c>
    </row>
    <row r="41" spans="1:17" x14ac:dyDescent="0.2">
      <c r="A41" s="40" t="s">
        <v>50</v>
      </c>
      <c r="B41" s="40"/>
      <c r="C41" s="41">
        <v>55462.574399999998</v>
      </c>
      <c r="D41" s="41">
        <v>1.01E-2</v>
      </c>
      <c r="E41">
        <f t="shared" si="0"/>
        <v>20672.422079103504</v>
      </c>
      <c r="F41">
        <f t="shared" si="1"/>
        <v>20672.5</v>
      </c>
      <c r="G41">
        <f t="shared" si="2"/>
        <v>-5.9247950004646555E-2</v>
      </c>
      <c r="J41">
        <f>+G41</f>
        <v>-5.9247950004646555E-2</v>
      </c>
      <c r="O41">
        <f t="shared" ca="1" si="3"/>
        <v>-5.2692032065113872E-2</v>
      </c>
      <c r="Q41" s="1">
        <f t="shared" si="4"/>
        <v>40444.074399999998</v>
      </c>
    </row>
    <row r="42" spans="1:17" x14ac:dyDescent="0.2">
      <c r="A42" s="28" t="s">
        <v>48</v>
      </c>
      <c r="B42" s="39" t="s">
        <v>49</v>
      </c>
      <c r="C42" s="28">
        <v>55691.452799999999</v>
      </c>
      <c r="D42" s="28">
        <v>5.1999999999999998E-3</v>
      </c>
      <c r="E42">
        <f t="shared" si="0"/>
        <v>20973.435196281047</v>
      </c>
      <c r="F42">
        <f t="shared" si="1"/>
        <v>20973.5</v>
      </c>
      <c r="G42">
        <f t="shared" si="2"/>
        <v>-4.9274169999989681E-2</v>
      </c>
      <c r="J42">
        <f>+G42</f>
        <v>-4.9274169999989681E-2</v>
      </c>
      <c r="O42">
        <f t="shared" ca="1" si="3"/>
        <v>-5.4022420243540065E-2</v>
      </c>
      <c r="Q42" s="1">
        <f t="shared" si="4"/>
        <v>40672.952799999999</v>
      </c>
    </row>
    <row r="43" spans="1:17" x14ac:dyDescent="0.2">
      <c r="A43" s="55" t="s">
        <v>167</v>
      </c>
      <c r="B43" s="56" t="s">
        <v>49</v>
      </c>
      <c r="C43" s="55">
        <v>55815.388700000003</v>
      </c>
      <c r="D43" s="55" t="s">
        <v>61</v>
      </c>
      <c r="E43">
        <f t="shared" si="0"/>
        <v>21136.431492957381</v>
      </c>
      <c r="F43">
        <f t="shared" si="1"/>
        <v>21136.5</v>
      </c>
      <c r="G43">
        <f t="shared" si="2"/>
        <v>-5.209002999617951E-2</v>
      </c>
      <c r="K43">
        <f>+G43</f>
        <v>-5.209002999617951E-2</v>
      </c>
      <c r="O43">
        <f t="shared" ca="1" si="3"/>
        <v>-5.4742863011259246E-2</v>
      </c>
      <c r="Q43" s="1">
        <f t="shared" si="4"/>
        <v>40796.888700000003</v>
      </c>
    </row>
    <row r="44" spans="1:17" x14ac:dyDescent="0.2">
      <c r="D44" s="4"/>
    </row>
    <row r="45" spans="1:17" x14ac:dyDescent="0.2">
      <c r="D45" s="4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9"/>
  <sheetViews>
    <sheetView topLeftCell="A9" workbookViewId="0">
      <selection activeCell="A21" sqref="A21:D32"/>
    </sheetView>
  </sheetViews>
  <sheetFormatPr defaultRowHeight="12.75" x14ac:dyDescent="0.2"/>
  <cols>
    <col min="1" max="1" width="19.7109375" style="29" customWidth="1"/>
    <col min="2" max="2" width="4.42578125" style="17" customWidth="1"/>
    <col min="3" max="3" width="12.7109375" style="29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29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42" t="s">
        <v>51</v>
      </c>
      <c r="I1" s="43" t="s">
        <v>52</v>
      </c>
      <c r="J1" s="44" t="s">
        <v>53</v>
      </c>
    </row>
    <row r="2" spans="1:16" x14ac:dyDescent="0.2">
      <c r="I2" s="45" t="s">
        <v>54</v>
      </c>
      <c r="J2" s="46" t="s">
        <v>55</v>
      </c>
    </row>
    <row r="3" spans="1:16" x14ac:dyDescent="0.2">
      <c r="A3" s="47" t="s">
        <v>56</v>
      </c>
      <c r="I3" s="45" t="s">
        <v>57</v>
      </c>
      <c r="J3" s="46" t="s">
        <v>58</v>
      </c>
    </row>
    <row r="4" spans="1:16" x14ac:dyDescent="0.2">
      <c r="I4" s="45" t="s">
        <v>59</v>
      </c>
      <c r="J4" s="46" t="s">
        <v>58</v>
      </c>
    </row>
    <row r="5" spans="1:16" ht="13.5" thickBot="1" x14ac:dyDescent="0.25">
      <c r="I5" s="48" t="s">
        <v>60</v>
      </c>
      <c r="J5" s="49" t="s">
        <v>61</v>
      </c>
    </row>
    <row r="10" spans="1:16" ht="13.5" thickBot="1" x14ac:dyDescent="0.25"/>
    <row r="11" spans="1:16" ht="12.75" customHeight="1" thickBot="1" x14ac:dyDescent="0.25">
      <c r="A11" s="29" t="str">
        <f t="shared" ref="A11:A32" si="0">P11</f>
        <v>OEJV 0074 </v>
      </c>
      <c r="B11" s="4" t="str">
        <f t="shared" ref="B11:B32" si="1">IF(H11=INT(H11),"I","II")</f>
        <v>I</v>
      </c>
      <c r="C11" s="29">
        <f t="shared" ref="C11:C32" si="2">1*G11</f>
        <v>52050.482210000002</v>
      </c>
      <c r="D11" s="17" t="str">
        <f t="shared" ref="D11:D32" si="3">VLOOKUP(F11,I$1:J$5,2,FALSE)</f>
        <v>vis</v>
      </c>
      <c r="E11" s="50">
        <f>VLOOKUP(C11,Active!C$21:E$972,3,FALSE)</f>
        <v>16184.954034023507</v>
      </c>
      <c r="F11" s="4" t="s">
        <v>60</v>
      </c>
      <c r="G11" s="17" t="str">
        <f t="shared" ref="G11:G32" si="4">MID(I11,3,LEN(I11)-3)</f>
        <v>52050.48221</v>
      </c>
      <c r="H11" s="29">
        <f t="shared" ref="H11:H32" si="5">1*K11</f>
        <v>16185</v>
      </c>
      <c r="I11" s="51" t="s">
        <v>62</v>
      </c>
      <c r="J11" s="52" t="s">
        <v>63</v>
      </c>
      <c r="K11" s="51">
        <v>16185</v>
      </c>
      <c r="L11" s="51" t="s">
        <v>64</v>
      </c>
      <c r="M11" s="52" t="s">
        <v>65</v>
      </c>
      <c r="N11" s="52" t="s">
        <v>66</v>
      </c>
      <c r="O11" s="53" t="s">
        <v>67</v>
      </c>
      <c r="P11" s="54" t="s">
        <v>68</v>
      </c>
    </row>
    <row r="12" spans="1:16" ht="12.75" customHeight="1" thickBot="1" x14ac:dyDescent="0.25">
      <c r="A12" s="29" t="str">
        <f t="shared" si="0"/>
        <v>BAVM 172 </v>
      </c>
      <c r="B12" s="4" t="str">
        <f t="shared" si="1"/>
        <v>II</v>
      </c>
      <c r="C12" s="29">
        <f t="shared" si="2"/>
        <v>52886.500200000002</v>
      </c>
      <c r="D12" s="17" t="str">
        <f t="shared" si="3"/>
        <v>vis</v>
      </c>
      <c r="E12" s="50">
        <f>VLOOKUP(C12,Active!C$21:E$972,3,FALSE)</f>
        <v>17284.456569808455</v>
      </c>
      <c r="F12" s="4" t="s">
        <v>60</v>
      </c>
      <c r="G12" s="17" t="str">
        <f t="shared" si="4"/>
        <v>52886.5002</v>
      </c>
      <c r="H12" s="29">
        <f t="shared" si="5"/>
        <v>17284.5</v>
      </c>
      <c r="I12" s="51" t="s">
        <v>69</v>
      </c>
      <c r="J12" s="52" t="s">
        <v>70</v>
      </c>
      <c r="K12" s="51">
        <v>17284.5</v>
      </c>
      <c r="L12" s="51" t="s">
        <v>71</v>
      </c>
      <c r="M12" s="52" t="s">
        <v>72</v>
      </c>
      <c r="N12" s="52" t="s">
        <v>73</v>
      </c>
      <c r="O12" s="53" t="s">
        <v>74</v>
      </c>
      <c r="P12" s="54" t="s">
        <v>75</v>
      </c>
    </row>
    <row r="13" spans="1:16" ht="12.75" customHeight="1" thickBot="1" x14ac:dyDescent="0.25">
      <c r="A13" s="29" t="str">
        <f t="shared" si="0"/>
        <v>IBVS 5653 </v>
      </c>
      <c r="B13" s="4" t="str">
        <f t="shared" si="1"/>
        <v>I</v>
      </c>
      <c r="C13" s="29">
        <f t="shared" si="2"/>
        <v>53266.296000000002</v>
      </c>
      <c r="D13" s="17" t="str">
        <f t="shared" si="3"/>
        <v>vis</v>
      </c>
      <c r="E13" s="50">
        <f>VLOOKUP(C13,Active!C$21:E$972,3,FALSE)</f>
        <v>17783.95113831705</v>
      </c>
      <c r="F13" s="4" t="s">
        <v>60</v>
      </c>
      <c r="G13" s="17" t="str">
        <f t="shared" si="4"/>
        <v>53266.296</v>
      </c>
      <c r="H13" s="29">
        <f t="shared" si="5"/>
        <v>17784</v>
      </c>
      <c r="I13" s="51" t="s">
        <v>83</v>
      </c>
      <c r="J13" s="52" t="s">
        <v>84</v>
      </c>
      <c r="K13" s="51" t="s">
        <v>85</v>
      </c>
      <c r="L13" s="51" t="s">
        <v>86</v>
      </c>
      <c r="M13" s="52" t="s">
        <v>72</v>
      </c>
      <c r="N13" s="52" t="s">
        <v>80</v>
      </c>
      <c r="O13" s="53" t="s">
        <v>87</v>
      </c>
      <c r="P13" s="54" t="s">
        <v>88</v>
      </c>
    </row>
    <row r="14" spans="1:16" ht="12.75" customHeight="1" thickBot="1" x14ac:dyDescent="0.25">
      <c r="A14" s="29" t="str">
        <f t="shared" si="0"/>
        <v> BBS 133 (=IBVS 5781) </v>
      </c>
      <c r="B14" s="4" t="str">
        <f t="shared" si="1"/>
        <v>I</v>
      </c>
      <c r="C14" s="29">
        <f t="shared" si="2"/>
        <v>53941.487800000003</v>
      </c>
      <c r="D14" s="17" t="str">
        <f t="shared" si="3"/>
        <v>vis</v>
      </c>
      <c r="E14" s="50">
        <f>VLOOKUP(C14,Active!C$21:E$972,3,FALSE)</f>
        <v>18671.940517877174</v>
      </c>
      <c r="F14" s="4" t="s">
        <v>60</v>
      </c>
      <c r="G14" s="17" t="str">
        <f t="shared" si="4"/>
        <v>53941.4878</v>
      </c>
      <c r="H14" s="29">
        <f t="shared" si="5"/>
        <v>18672</v>
      </c>
      <c r="I14" s="51" t="s">
        <v>89</v>
      </c>
      <c r="J14" s="52" t="s">
        <v>90</v>
      </c>
      <c r="K14" s="51" t="s">
        <v>91</v>
      </c>
      <c r="L14" s="51" t="s">
        <v>92</v>
      </c>
      <c r="M14" s="52" t="s">
        <v>65</v>
      </c>
      <c r="N14" s="52" t="s">
        <v>60</v>
      </c>
      <c r="O14" s="53" t="s">
        <v>87</v>
      </c>
      <c r="P14" s="53" t="s">
        <v>93</v>
      </c>
    </row>
    <row r="15" spans="1:16" ht="12.75" customHeight="1" thickBot="1" x14ac:dyDescent="0.25">
      <c r="A15" s="29" t="str">
        <f t="shared" si="0"/>
        <v>BAVM 183 </v>
      </c>
      <c r="B15" s="4" t="str">
        <f t="shared" si="1"/>
        <v>I</v>
      </c>
      <c r="C15" s="29">
        <f t="shared" si="2"/>
        <v>54018.283100000001</v>
      </c>
      <c r="D15" s="17" t="str">
        <f t="shared" si="3"/>
        <v>vis</v>
      </c>
      <c r="E15" s="50">
        <f>VLOOKUP(C15,Active!C$21:E$972,3,FALSE)</f>
        <v>18772.939094578094</v>
      </c>
      <c r="F15" s="4" t="s">
        <v>60</v>
      </c>
      <c r="G15" s="17" t="str">
        <f t="shared" si="4"/>
        <v>54018.2831</v>
      </c>
      <c r="H15" s="29">
        <f t="shared" si="5"/>
        <v>18773</v>
      </c>
      <c r="I15" s="51" t="s">
        <v>94</v>
      </c>
      <c r="J15" s="52" t="s">
        <v>95</v>
      </c>
      <c r="K15" s="51" t="s">
        <v>96</v>
      </c>
      <c r="L15" s="51" t="s">
        <v>97</v>
      </c>
      <c r="M15" s="52" t="s">
        <v>65</v>
      </c>
      <c r="N15" s="52" t="s">
        <v>73</v>
      </c>
      <c r="O15" s="53" t="s">
        <v>74</v>
      </c>
      <c r="P15" s="54" t="s">
        <v>98</v>
      </c>
    </row>
    <row r="16" spans="1:16" ht="12.75" customHeight="1" thickBot="1" x14ac:dyDescent="0.25">
      <c r="A16" s="29" t="str">
        <f t="shared" si="0"/>
        <v>BAVM 183 </v>
      </c>
      <c r="B16" s="4" t="str">
        <f t="shared" si="1"/>
        <v>I</v>
      </c>
      <c r="C16" s="29">
        <f t="shared" si="2"/>
        <v>54062.384700000002</v>
      </c>
      <c r="D16" s="17" t="str">
        <f t="shared" si="3"/>
        <v>vis</v>
      </c>
      <c r="E16" s="50">
        <f>VLOOKUP(C16,Active!C$21:E$972,3,FALSE)</f>
        <v>18830.940024716183</v>
      </c>
      <c r="F16" s="4" t="s">
        <v>60</v>
      </c>
      <c r="G16" s="17" t="str">
        <f t="shared" si="4"/>
        <v>54062.3847</v>
      </c>
      <c r="H16" s="29">
        <f t="shared" si="5"/>
        <v>18831</v>
      </c>
      <c r="I16" s="51" t="s">
        <v>99</v>
      </c>
      <c r="J16" s="52" t="s">
        <v>100</v>
      </c>
      <c r="K16" s="51" t="s">
        <v>101</v>
      </c>
      <c r="L16" s="51" t="s">
        <v>102</v>
      </c>
      <c r="M16" s="52" t="s">
        <v>65</v>
      </c>
      <c r="N16" s="52" t="s">
        <v>73</v>
      </c>
      <c r="O16" s="53" t="s">
        <v>74</v>
      </c>
      <c r="P16" s="54" t="s">
        <v>98</v>
      </c>
    </row>
    <row r="17" spans="1:16" ht="12.75" customHeight="1" thickBot="1" x14ac:dyDescent="0.25">
      <c r="A17" s="29" t="str">
        <f t="shared" si="0"/>
        <v>BAVM 215 </v>
      </c>
      <c r="B17" s="4" t="str">
        <f t="shared" si="1"/>
        <v>I</v>
      </c>
      <c r="C17" s="29">
        <f t="shared" si="2"/>
        <v>55391.488799999999</v>
      </c>
      <c r="D17" s="17" t="str">
        <f t="shared" si="3"/>
        <v>vis</v>
      </c>
      <c r="E17" s="50">
        <f>VLOOKUP(C17,Active!C$21:E$972,3,FALSE)</f>
        <v>20578.932706395397</v>
      </c>
      <c r="F17" s="4" t="s">
        <v>60</v>
      </c>
      <c r="G17" s="17" t="str">
        <f t="shared" si="4"/>
        <v>55391.4888</v>
      </c>
      <c r="H17" s="29">
        <f t="shared" si="5"/>
        <v>20579</v>
      </c>
      <c r="I17" s="51" t="s">
        <v>145</v>
      </c>
      <c r="J17" s="52" t="s">
        <v>146</v>
      </c>
      <c r="K17" s="51" t="s">
        <v>147</v>
      </c>
      <c r="L17" s="51" t="s">
        <v>148</v>
      </c>
      <c r="M17" s="52" t="s">
        <v>65</v>
      </c>
      <c r="N17" s="52" t="s">
        <v>73</v>
      </c>
      <c r="O17" s="53" t="s">
        <v>74</v>
      </c>
      <c r="P17" s="54" t="s">
        <v>149</v>
      </c>
    </row>
    <row r="18" spans="1:16" ht="12.75" customHeight="1" thickBot="1" x14ac:dyDescent="0.25">
      <c r="A18" s="29" t="str">
        <f t="shared" si="0"/>
        <v>BAVM 215 </v>
      </c>
      <c r="B18" s="4" t="str">
        <f t="shared" si="1"/>
        <v>I</v>
      </c>
      <c r="C18" s="29">
        <f t="shared" si="2"/>
        <v>55429.506300000001</v>
      </c>
      <c r="D18" s="17" t="str">
        <f t="shared" si="3"/>
        <v>vis</v>
      </c>
      <c r="E18" s="50">
        <f>VLOOKUP(C18,Active!C$21:E$972,3,FALSE)</f>
        <v>20628.932034345511</v>
      </c>
      <c r="F18" s="4" t="s">
        <v>60</v>
      </c>
      <c r="G18" s="17" t="str">
        <f t="shared" si="4"/>
        <v>55429.5063</v>
      </c>
      <c r="H18" s="29">
        <f t="shared" si="5"/>
        <v>20629</v>
      </c>
      <c r="I18" s="51" t="s">
        <v>150</v>
      </c>
      <c r="J18" s="52" t="s">
        <v>151</v>
      </c>
      <c r="K18" s="51" t="s">
        <v>152</v>
      </c>
      <c r="L18" s="51" t="s">
        <v>153</v>
      </c>
      <c r="M18" s="52" t="s">
        <v>65</v>
      </c>
      <c r="N18" s="52" t="s">
        <v>73</v>
      </c>
      <c r="O18" s="53" t="s">
        <v>74</v>
      </c>
      <c r="P18" s="54" t="s">
        <v>149</v>
      </c>
    </row>
    <row r="19" spans="1:16" ht="12.75" customHeight="1" thickBot="1" x14ac:dyDescent="0.25">
      <c r="A19" s="29" t="str">
        <f t="shared" si="0"/>
        <v>BAVM 215 </v>
      </c>
      <c r="B19" s="4" t="str">
        <f t="shared" si="1"/>
        <v>II</v>
      </c>
      <c r="C19" s="29">
        <f t="shared" si="2"/>
        <v>55462.574399999998</v>
      </c>
      <c r="D19" s="17" t="str">
        <f t="shared" si="3"/>
        <v>vis</v>
      </c>
      <c r="E19" s="50">
        <f>VLOOKUP(C19,Active!C$21:E$972,3,FALSE)</f>
        <v>20672.422079103504</v>
      </c>
      <c r="F19" s="4" t="s">
        <v>60</v>
      </c>
      <c r="G19" s="17" t="str">
        <f t="shared" si="4"/>
        <v>55462.5744</v>
      </c>
      <c r="H19" s="29">
        <f t="shared" si="5"/>
        <v>20672.5</v>
      </c>
      <c r="I19" s="51" t="s">
        <v>154</v>
      </c>
      <c r="J19" s="52" t="s">
        <v>155</v>
      </c>
      <c r="K19" s="51" t="s">
        <v>156</v>
      </c>
      <c r="L19" s="51" t="s">
        <v>157</v>
      </c>
      <c r="M19" s="52" t="s">
        <v>65</v>
      </c>
      <c r="N19" s="52" t="s">
        <v>73</v>
      </c>
      <c r="O19" s="53" t="s">
        <v>74</v>
      </c>
      <c r="P19" s="54" t="s">
        <v>149</v>
      </c>
    </row>
    <row r="20" spans="1:16" ht="12.75" customHeight="1" thickBot="1" x14ac:dyDescent="0.25">
      <c r="A20" s="29" t="str">
        <f t="shared" si="0"/>
        <v>BAVM 220 </v>
      </c>
      <c r="B20" s="4" t="str">
        <f t="shared" si="1"/>
        <v>II</v>
      </c>
      <c r="C20" s="29">
        <f t="shared" si="2"/>
        <v>55691.452799999999</v>
      </c>
      <c r="D20" s="17" t="str">
        <f t="shared" si="3"/>
        <v>vis</v>
      </c>
      <c r="E20" s="50">
        <f>VLOOKUP(C20,Active!C$21:E$972,3,FALSE)</f>
        <v>20973.435196281047</v>
      </c>
      <c r="F20" s="4" t="s">
        <v>60</v>
      </c>
      <c r="G20" s="17" t="str">
        <f t="shared" si="4"/>
        <v>55691.4528</v>
      </c>
      <c r="H20" s="29">
        <f t="shared" si="5"/>
        <v>20973.5</v>
      </c>
      <c r="I20" s="51" t="s">
        <v>158</v>
      </c>
      <c r="J20" s="52" t="s">
        <v>159</v>
      </c>
      <c r="K20" s="51" t="s">
        <v>160</v>
      </c>
      <c r="L20" s="51" t="s">
        <v>161</v>
      </c>
      <c r="M20" s="52" t="s">
        <v>65</v>
      </c>
      <c r="N20" s="52" t="s">
        <v>73</v>
      </c>
      <c r="O20" s="53" t="s">
        <v>74</v>
      </c>
      <c r="P20" s="54" t="s">
        <v>162</v>
      </c>
    </row>
    <row r="21" spans="1:16" ht="12.75" customHeight="1" thickBot="1" x14ac:dyDescent="0.25">
      <c r="A21" s="29" t="str">
        <f t="shared" si="0"/>
        <v>IBVS 5741 </v>
      </c>
      <c r="B21" s="4" t="str">
        <f t="shared" si="1"/>
        <v>I</v>
      </c>
      <c r="C21" s="29">
        <f t="shared" si="2"/>
        <v>53246.521399999998</v>
      </c>
      <c r="D21" s="17" t="str">
        <f t="shared" si="3"/>
        <v>vis</v>
      </c>
      <c r="E21" s="50" t="e">
        <f>VLOOKUP(C21,Active!C$21:E$972,3,FALSE)</f>
        <v>#N/A</v>
      </c>
      <c r="F21" s="4" t="s">
        <v>60</v>
      </c>
      <c r="G21" s="17" t="str">
        <f t="shared" si="4"/>
        <v>53246.5214</v>
      </c>
      <c r="H21" s="29">
        <f t="shared" si="5"/>
        <v>17758</v>
      </c>
      <c r="I21" s="51" t="s">
        <v>76</v>
      </c>
      <c r="J21" s="52" t="s">
        <v>77</v>
      </c>
      <c r="K21" s="51" t="s">
        <v>78</v>
      </c>
      <c r="L21" s="51" t="s">
        <v>79</v>
      </c>
      <c r="M21" s="52" t="s">
        <v>72</v>
      </c>
      <c r="N21" s="52" t="s">
        <v>80</v>
      </c>
      <c r="O21" s="53" t="s">
        <v>81</v>
      </c>
      <c r="P21" s="54" t="s">
        <v>82</v>
      </c>
    </row>
    <row r="22" spans="1:16" ht="12.75" customHeight="1" thickBot="1" x14ac:dyDescent="0.25">
      <c r="A22" s="29" t="str">
        <f t="shared" si="0"/>
        <v>BAVM 203 </v>
      </c>
      <c r="B22" s="4" t="str">
        <f t="shared" si="1"/>
        <v>I</v>
      </c>
      <c r="C22" s="29">
        <f t="shared" si="2"/>
        <v>54658.5052</v>
      </c>
      <c r="D22" s="17" t="str">
        <f t="shared" si="3"/>
        <v>vis</v>
      </c>
      <c r="E22" s="50">
        <f>VLOOKUP(C22,Active!C$21:E$972,3,FALSE)</f>
        <v>19614.937509487278</v>
      </c>
      <c r="F22" s="4" t="s">
        <v>60</v>
      </c>
      <c r="G22" s="17" t="str">
        <f t="shared" si="4"/>
        <v>54658.5052</v>
      </c>
      <c r="H22" s="29">
        <f t="shared" si="5"/>
        <v>19615</v>
      </c>
      <c r="I22" s="51" t="s">
        <v>103</v>
      </c>
      <c r="J22" s="52" t="s">
        <v>104</v>
      </c>
      <c r="K22" s="51" t="s">
        <v>105</v>
      </c>
      <c r="L22" s="51" t="s">
        <v>106</v>
      </c>
      <c r="M22" s="52" t="s">
        <v>65</v>
      </c>
      <c r="N22" s="52" t="s">
        <v>73</v>
      </c>
      <c r="O22" s="53" t="s">
        <v>74</v>
      </c>
      <c r="P22" s="54" t="s">
        <v>107</v>
      </c>
    </row>
    <row r="23" spans="1:16" ht="12.75" customHeight="1" thickBot="1" x14ac:dyDescent="0.25">
      <c r="A23" s="29" t="str">
        <f t="shared" si="0"/>
        <v>BAVM 203 </v>
      </c>
      <c r="B23" s="4" t="str">
        <f t="shared" si="1"/>
        <v>II</v>
      </c>
      <c r="C23" s="29">
        <f t="shared" si="2"/>
        <v>54704.501400000001</v>
      </c>
      <c r="D23" s="17" t="str">
        <f t="shared" si="3"/>
        <v>vis</v>
      </c>
      <c r="E23" s="50">
        <f>VLOOKUP(C23,Active!C$21:E$972,3,FALSE)</f>
        <v>19675.430153355472</v>
      </c>
      <c r="F23" s="4" t="s">
        <v>60</v>
      </c>
      <c r="G23" s="17" t="str">
        <f t="shared" si="4"/>
        <v>54704.5014</v>
      </c>
      <c r="H23" s="29">
        <f t="shared" si="5"/>
        <v>19675.5</v>
      </c>
      <c r="I23" s="51" t="s">
        <v>108</v>
      </c>
      <c r="J23" s="52" t="s">
        <v>109</v>
      </c>
      <c r="K23" s="51" t="s">
        <v>110</v>
      </c>
      <c r="L23" s="51" t="s">
        <v>111</v>
      </c>
      <c r="M23" s="52" t="s">
        <v>65</v>
      </c>
      <c r="N23" s="52" t="s">
        <v>73</v>
      </c>
      <c r="O23" s="53" t="s">
        <v>74</v>
      </c>
      <c r="P23" s="54" t="s">
        <v>107</v>
      </c>
    </row>
    <row r="24" spans="1:16" ht="12.75" customHeight="1" thickBot="1" x14ac:dyDescent="0.25">
      <c r="A24" s="29" t="str">
        <f t="shared" si="0"/>
        <v>BAVM 203 </v>
      </c>
      <c r="B24" s="4" t="str">
        <f t="shared" si="1"/>
        <v>I</v>
      </c>
      <c r="C24" s="29">
        <f t="shared" si="2"/>
        <v>54706.408100000001</v>
      </c>
      <c r="D24" s="17" t="str">
        <f t="shared" si="3"/>
        <v>vis</v>
      </c>
      <c r="E24" s="50">
        <f>VLOOKUP(C24,Active!C$21:E$972,3,FALSE)</f>
        <v>19677.937780595625</v>
      </c>
      <c r="F24" s="4" t="s">
        <v>60</v>
      </c>
      <c r="G24" s="17" t="str">
        <f t="shared" si="4"/>
        <v>54706.4081</v>
      </c>
      <c r="H24" s="29">
        <f t="shared" si="5"/>
        <v>19678</v>
      </c>
      <c r="I24" s="51" t="s">
        <v>112</v>
      </c>
      <c r="J24" s="52" t="s">
        <v>113</v>
      </c>
      <c r="K24" s="51" t="s">
        <v>114</v>
      </c>
      <c r="L24" s="51" t="s">
        <v>115</v>
      </c>
      <c r="M24" s="52" t="s">
        <v>65</v>
      </c>
      <c r="N24" s="52" t="s">
        <v>73</v>
      </c>
      <c r="O24" s="53" t="s">
        <v>74</v>
      </c>
      <c r="P24" s="54" t="s">
        <v>107</v>
      </c>
    </row>
    <row r="25" spans="1:16" ht="12.75" customHeight="1" thickBot="1" x14ac:dyDescent="0.25">
      <c r="A25" s="29" t="str">
        <f t="shared" si="0"/>
        <v>BAVM 212 </v>
      </c>
      <c r="B25" s="4" t="str">
        <f t="shared" si="1"/>
        <v>I</v>
      </c>
      <c r="C25" s="29">
        <f t="shared" si="2"/>
        <v>55042.485099999998</v>
      </c>
      <c r="D25" s="17" t="str">
        <f t="shared" si="3"/>
        <v>vis</v>
      </c>
      <c r="E25" s="50">
        <f>VLOOKUP(C25,Active!C$21:E$972,3,FALSE)</f>
        <v>20119.934864556693</v>
      </c>
      <c r="F25" s="4" t="s">
        <v>60</v>
      </c>
      <c r="G25" s="17" t="str">
        <f t="shared" si="4"/>
        <v>55042.4851</v>
      </c>
      <c r="H25" s="29">
        <f t="shared" si="5"/>
        <v>20120</v>
      </c>
      <c r="I25" s="51" t="s">
        <v>116</v>
      </c>
      <c r="J25" s="52" t="s">
        <v>117</v>
      </c>
      <c r="K25" s="51" t="s">
        <v>118</v>
      </c>
      <c r="L25" s="51" t="s">
        <v>119</v>
      </c>
      <c r="M25" s="52" t="s">
        <v>65</v>
      </c>
      <c r="N25" s="52" t="s">
        <v>73</v>
      </c>
      <c r="O25" s="53" t="s">
        <v>74</v>
      </c>
      <c r="P25" s="54" t="s">
        <v>120</v>
      </c>
    </row>
    <row r="26" spans="1:16" ht="12.75" customHeight="1" thickBot="1" x14ac:dyDescent="0.25">
      <c r="A26" s="29" t="str">
        <f t="shared" si="0"/>
        <v>BAVM 212 </v>
      </c>
      <c r="B26" s="4" t="str">
        <f t="shared" si="1"/>
        <v>II</v>
      </c>
      <c r="C26" s="29">
        <f t="shared" si="2"/>
        <v>55059.59</v>
      </c>
      <c r="D26" s="17" t="str">
        <f t="shared" si="3"/>
        <v>vis</v>
      </c>
      <c r="E26" s="50">
        <f>VLOOKUP(C26,Active!C$21:E$972,3,FALSE)</f>
        <v>20142.430649515038</v>
      </c>
      <c r="F26" s="4" t="s">
        <v>60</v>
      </c>
      <c r="G26" s="17" t="str">
        <f t="shared" si="4"/>
        <v>55059.5900</v>
      </c>
      <c r="H26" s="29">
        <f t="shared" si="5"/>
        <v>20142.5</v>
      </c>
      <c r="I26" s="51" t="s">
        <v>121</v>
      </c>
      <c r="J26" s="52" t="s">
        <v>122</v>
      </c>
      <c r="K26" s="51" t="s">
        <v>123</v>
      </c>
      <c r="L26" s="51" t="s">
        <v>124</v>
      </c>
      <c r="M26" s="52" t="s">
        <v>65</v>
      </c>
      <c r="N26" s="52" t="s">
        <v>73</v>
      </c>
      <c r="O26" s="53" t="s">
        <v>74</v>
      </c>
      <c r="P26" s="54" t="s">
        <v>120</v>
      </c>
    </row>
    <row r="27" spans="1:16" ht="12.75" customHeight="1" thickBot="1" x14ac:dyDescent="0.25">
      <c r="A27" s="29" t="str">
        <f t="shared" si="0"/>
        <v>BAVM 212 </v>
      </c>
      <c r="B27" s="4" t="str">
        <f t="shared" si="1"/>
        <v>I</v>
      </c>
      <c r="C27" s="29">
        <f t="shared" si="2"/>
        <v>55064.535000000003</v>
      </c>
      <c r="D27" s="17" t="str">
        <f t="shared" si="3"/>
        <v>vis</v>
      </c>
      <c r="E27" s="50">
        <f>VLOOKUP(C27,Active!C$21:E$972,3,FALSE)</f>
        <v>20148.934145976236</v>
      </c>
      <c r="F27" s="4" t="s">
        <v>60</v>
      </c>
      <c r="G27" s="17" t="str">
        <f t="shared" si="4"/>
        <v>55064.5350</v>
      </c>
      <c r="H27" s="29">
        <f t="shared" si="5"/>
        <v>20149</v>
      </c>
      <c r="I27" s="51" t="s">
        <v>125</v>
      </c>
      <c r="J27" s="52" t="s">
        <v>126</v>
      </c>
      <c r="K27" s="51" t="s">
        <v>127</v>
      </c>
      <c r="L27" s="51" t="s">
        <v>128</v>
      </c>
      <c r="M27" s="52" t="s">
        <v>65</v>
      </c>
      <c r="N27" s="52" t="s">
        <v>73</v>
      </c>
      <c r="O27" s="53" t="s">
        <v>74</v>
      </c>
      <c r="P27" s="54" t="s">
        <v>120</v>
      </c>
    </row>
    <row r="28" spans="1:16" ht="12.75" customHeight="1" thickBot="1" x14ac:dyDescent="0.25">
      <c r="A28" s="29" t="str">
        <f t="shared" si="0"/>
        <v>BAVM 212 </v>
      </c>
      <c r="B28" s="4" t="str">
        <f t="shared" si="1"/>
        <v>I</v>
      </c>
      <c r="C28" s="29">
        <f t="shared" si="2"/>
        <v>55074.419800000003</v>
      </c>
      <c r="D28" s="17" t="str">
        <f t="shared" si="3"/>
        <v>vis</v>
      </c>
      <c r="E28" s="50">
        <f>VLOOKUP(C28,Active!C$21:E$972,3,FALSE)</f>
        <v>20161.934300034794</v>
      </c>
      <c r="F28" s="4" t="s">
        <v>60</v>
      </c>
      <c r="G28" s="17" t="str">
        <f t="shared" si="4"/>
        <v>55074.4198</v>
      </c>
      <c r="H28" s="29">
        <f t="shared" si="5"/>
        <v>20162</v>
      </c>
      <c r="I28" s="51" t="s">
        <v>129</v>
      </c>
      <c r="J28" s="52" t="s">
        <v>130</v>
      </c>
      <c r="K28" s="51" t="s">
        <v>131</v>
      </c>
      <c r="L28" s="51" t="s">
        <v>132</v>
      </c>
      <c r="M28" s="52" t="s">
        <v>65</v>
      </c>
      <c r="N28" s="52" t="s">
        <v>73</v>
      </c>
      <c r="O28" s="53" t="s">
        <v>74</v>
      </c>
      <c r="P28" s="54" t="s">
        <v>120</v>
      </c>
    </row>
    <row r="29" spans="1:16" ht="12.75" customHeight="1" thickBot="1" x14ac:dyDescent="0.25">
      <c r="A29" s="29" t="str">
        <f t="shared" si="0"/>
        <v>BAVM 212 </v>
      </c>
      <c r="B29" s="4" t="str">
        <f t="shared" si="1"/>
        <v>I</v>
      </c>
      <c r="C29" s="29">
        <f t="shared" si="2"/>
        <v>55083.544399999999</v>
      </c>
      <c r="D29" s="17" t="str">
        <f t="shared" si="3"/>
        <v>vis</v>
      </c>
      <c r="E29" s="50">
        <f>VLOOKUP(C29,Active!C$21:E$972,3,FALSE)</f>
        <v>20173.934664809265</v>
      </c>
      <c r="F29" s="4" t="s">
        <v>60</v>
      </c>
      <c r="G29" s="17" t="str">
        <f t="shared" si="4"/>
        <v>55083.5444</v>
      </c>
      <c r="H29" s="29">
        <f t="shared" si="5"/>
        <v>20174</v>
      </c>
      <c r="I29" s="51" t="s">
        <v>133</v>
      </c>
      <c r="J29" s="52" t="s">
        <v>134</v>
      </c>
      <c r="K29" s="51" t="s">
        <v>135</v>
      </c>
      <c r="L29" s="51" t="s">
        <v>136</v>
      </c>
      <c r="M29" s="52" t="s">
        <v>65</v>
      </c>
      <c r="N29" s="52" t="s">
        <v>73</v>
      </c>
      <c r="O29" s="53" t="s">
        <v>74</v>
      </c>
      <c r="P29" s="54" t="s">
        <v>120</v>
      </c>
    </row>
    <row r="30" spans="1:16" ht="12.75" customHeight="1" thickBot="1" x14ac:dyDescent="0.25">
      <c r="A30" s="29" t="str">
        <f t="shared" si="0"/>
        <v>BAVM 212 </v>
      </c>
      <c r="B30" s="4" t="str">
        <f t="shared" si="1"/>
        <v>I</v>
      </c>
      <c r="C30" s="29">
        <f t="shared" si="2"/>
        <v>55102.553500000002</v>
      </c>
      <c r="D30" s="17" t="str">
        <f t="shared" si="3"/>
        <v>vis</v>
      </c>
      <c r="E30" s="50">
        <f>VLOOKUP(C30,Active!C$21:E$972,3,FALSE)</f>
        <v>20198.934789092466</v>
      </c>
      <c r="F30" s="4" t="s">
        <v>60</v>
      </c>
      <c r="G30" s="17" t="str">
        <f t="shared" si="4"/>
        <v>55102.5535</v>
      </c>
      <c r="H30" s="29">
        <f t="shared" si="5"/>
        <v>20199</v>
      </c>
      <c r="I30" s="51" t="s">
        <v>137</v>
      </c>
      <c r="J30" s="52" t="s">
        <v>138</v>
      </c>
      <c r="K30" s="51" t="s">
        <v>139</v>
      </c>
      <c r="L30" s="51" t="s">
        <v>140</v>
      </c>
      <c r="M30" s="52" t="s">
        <v>65</v>
      </c>
      <c r="N30" s="52" t="s">
        <v>73</v>
      </c>
      <c r="O30" s="53" t="s">
        <v>74</v>
      </c>
      <c r="P30" s="54" t="s">
        <v>120</v>
      </c>
    </row>
    <row r="31" spans="1:16" ht="12.75" customHeight="1" thickBot="1" x14ac:dyDescent="0.25">
      <c r="A31" s="29" t="str">
        <f t="shared" si="0"/>
        <v>BAVM 212 </v>
      </c>
      <c r="B31" s="4" t="str">
        <f t="shared" si="1"/>
        <v>I</v>
      </c>
      <c r="C31" s="29">
        <f t="shared" si="2"/>
        <v>55108.633999999998</v>
      </c>
      <c r="D31" s="17" t="str">
        <f t="shared" si="3"/>
        <v>vis</v>
      </c>
      <c r="E31" s="50">
        <f>VLOOKUP(C31,Active!C$21:E$972,3,FALSE)</f>
        <v>20206.931656682405</v>
      </c>
      <c r="F31" s="4" t="s">
        <v>60</v>
      </c>
      <c r="G31" s="17" t="str">
        <f t="shared" si="4"/>
        <v>55108.6340</v>
      </c>
      <c r="H31" s="29">
        <f t="shared" si="5"/>
        <v>20207</v>
      </c>
      <c r="I31" s="51" t="s">
        <v>141</v>
      </c>
      <c r="J31" s="52" t="s">
        <v>142</v>
      </c>
      <c r="K31" s="51" t="s">
        <v>143</v>
      </c>
      <c r="L31" s="51" t="s">
        <v>144</v>
      </c>
      <c r="M31" s="52" t="s">
        <v>65</v>
      </c>
      <c r="N31" s="52" t="s">
        <v>73</v>
      </c>
      <c r="O31" s="53" t="s">
        <v>74</v>
      </c>
      <c r="P31" s="54" t="s">
        <v>120</v>
      </c>
    </row>
    <row r="32" spans="1:16" ht="12.75" customHeight="1" thickBot="1" x14ac:dyDescent="0.25">
      <c r="A32" s="29" t="str">
        <f t="shared" si="0"/>
        <v>BAVM 225 </v>
      </c>
      <c r="B32" s="4" t="str">
        <f t="shared" si="1"/>
        <v>II</v>
      </c>
      <c r="C32" s="29">
        <f t="shared" si="2"/>
        <v>55815.388700000003</v>
      </c>
      <c r="D32" s="17" t="str">
        <f t="shared" si="3"/>
        <v>vis</v>
      </c>
      <c r="E32" s="50">
        <f>VLOOKUP(C32,Active!C$21:E$972,3,FALSE)</f>
        <v>21136.431492957381</v>
      </c>
      <c r="F32" s="4" t="s">
        <v>60</v>
      </c>
      <c r="G32" s="17" t="str">
        <f t="shared" si="4"/>
        <v>55815.3887</v>
      </c>
      <c r="H32" s="29">
        <f t="shared" si="5"/>
        <v>21136.5</v>
      </c>
      <c r="I32" s="51" t="s">
        <v>163</v>
      </c>
      <c r="J32" s="52" t="s">
        <v>164</v>
      </c>
      <c r="K32" s="51" t="s">
        <v>165</v>
      </c>
      <c r="L32" s="51" t="s">
        <v>166</v>
      </c>
      <c r="M32" s="52" t="s">
        <v>65</v>
      </c>
      <c r="N32" s="52" t="s">
        <v>73</v>
      </c>
      <c r="O32" s="53" t="s">
        <v>74</v>
      </c>
      <c r="P32" s="54" t="s">
        <v>167</v>
      </c>
    </row>
    <row r="33" spans="2:6" x14ac:dyDescent="0.2">
      <c r="B33" s="4"/>
      <c r="F33" s="4"/>
    </row>
    <row r="34" spans="2:6" x14ac:dyDescent="0.2">
      <c r="B34" s="4"/>
      <c r="F34" s="4"/>
    </row>
    <row r="35" spans="2:6" x14ac:dyDescent="0.2">
      <c r="B35" s="4"/>
      <c r="F35" s="4"/>
    </row>
    <row r="36" spans="2:6" x14ac:dyDescent="0.2">
      <c r="B36" s="4"/>
      <c r="F36" s="4"/>
    </row>
    <row r="37" spans="2:6" x14ac:dyDescent="0.2">
      <c r="B37" s="4"/>
      <c r="F37" s="4"/>
    </row>
    <row r="38" spans="2:6" x14ac:dyDescent="0.2">
      <c r="B38" s="4"/>
      <c r="F38" s="4"/>
    </row>
    <row r="39" spans="2:6" x14ac:dyDescent="0.2">
      <c r="B39" s="4"/>
      <c r="F39" s="4"/>
    </row>
    <row r="40" spans="2:6" x14ac:dyDescent="0.2">
      <c r="B40" s="4"/>
      <c r="F40" s="4"/>
    </row>
    <row r="41" spans="2:6" x14ac:dyDescent="0.2">
      <c r="B41" s="4"/>
      <c r="F41" s="4"/>
    </row>
    <row r="42" spans="2:6" x14ac:dyDescent="0.2">
      <c r="B42" s="4"/>
      <c r="F42" s="4"/>
    </row>
    <row r="43" spans="2:6" x14ac:dyDescent="0.2">
      <c r="B43" s="4"/>
      <c r="F43" s="4"/>
    </row>
    <row r="44" spans="2:6" x14ac:dyDescent="0.2">
      <c r="B44" s="4"/>
      <c r="F44" s="4"/>
    </row>
    <row r="45" spans="2:6" x14ac:dyDescent="0.2">
      <c r="B45" s="4"/>
      <c r="F45" s="4"/>
    </row>
    <row r="46" spans="2:6" x14ac:dyDescent="0.2">
      <c r="B46" s="4"/>
      <c r="F46" s="4"/>
    </row>
    <row r="47" spans="2:6" x14ac:dyDescent="0.2">
      <c r="B47" s="4"/>
      <c r="F47" s="4"/>
    </row>
    <row r="48" spans="2: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</sheetData>
  <phoneticPr fontId="6" type="noConversion"/>
  <hyperlinks>
    <hyperlink ref="P11" r:id="rId1" display="http://var.astro.cz/oejv/issues/oejv0074.pdf"/>
    <hyperlink ref="P12" r:id="rId2" display="http://www.bav-astro.de/sfs/BAVM_link.php?BAVMnr=172"/>
    <hyperlink ref="P21" r:id="rId3" display="http://www.konkoly.hu/cgi-bin/IBVS?5741"/>
    <hyperlink ref="P13" r:id="rId4" display="http://www.konkoly.hu/cgi-bin/IBVS?5653"/>
    <hyperlink ref="P15" r:id="rId5" display="http://www.bav-astro.de/sfs/BAVM_link.php?BAVMnr=183"/>
    <hyperlink ref="P16" r:id="rId6" display="http://www.bav-astro.de/sfs/BAVM_link.php?BAVMnr=183"/>
    <hyperlink ref="P22" r:id="rId7" display="http://www.bav-astro.de/sfs/BAVM_link.php?BAVMnr=203"/>
    <hyperlink ref="P23" r:id="rId8" display="http://www.bav-astro.de/sfs/BAVM_link.php?BAVMnr=203"/>
    <hyperlink ref="P24" r:id="rId9" display="http://www.bav-astro.de/sfs/BAVM_link.php?BAVMnr=203"/>
    <hyperlink ref="P25" r:id="rId10" display="http://www.bav-astro.de/sfs/BAVM_link.php?BAVMnr=212"/>
    <hyperlink ref="P26" r:id="rId11" display="http://www.bav-astro.de/sfs/BAVM_link.php?BAVMnr=212"/>
    <hyperlink ref="P27" r:id="rId12" display="http://www.bav-astro.de/sfs/BAVM_link.php?BAVMnr=212"/>
    <hyperlink ref="P28" r:id="rId13" display="http://www.bav-astro.de/sfs/BAVM_link.php?BAVMnr=212"/>
    <hyperlink ref="P29" r:id="rId14" display="http://www.bav-astro.de/sfs/BAVM_link.php?BAVMnr=212"/>
    <hyperlink ref="P30" r:id="rId15" display="http://www.bav-astro.de/sfs/BAVM_link.php?BAVMnr=212"/>
    <hyperlink ref="P31" r:id="rId16" display="http://www.bav-astro.de/sfs/BAVM_link.php?BAVMnr=212"/>
    <hyperlink ref="P17" r:id="rId17" display="http://www.bav-astro.de/sfs/BAVM_link.php?BAVMnr=215"/>
    <hyperlink ref="P18" r:id="rId18" display="http://www.bav-astro.de/sfs/BAVM_link.php?BAVMnr=215"/>
    <hyperlink ref="P19" r:id="rId19" display="http://www.bav-astro.de/sfs/BAVM_link.php?BAVMnr=215"/>
    <hyperlink ref="P20" r:id="rId20" display="http://www.bav-astro.de/sfs/BAVM_link.php?BAVMnr=220"/>
    <hyperlink ref="P32" r:id="rId21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2024-01-31T04:25:57Z</dcterms:modified>
</cp:coreProperties>
</file>