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869C223-3B2D-4399-98AF-B91F8D33331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5" i="1"/>
  <c r="G13" i="2"/>
  <c r="C13" i="2"/>
  <c r="C21" i="1"/>
  <c r="Q21" i="1"/>
  <c r="G12" i="2"/>
  <c r="C12" i="2"/>
  <c r="G11" i="2"/>
  <c r="C11" i="2"/>
  <c r="H13" i="2"/>
  <c r="D13" i="2"/>
  <c r="B13" i="2"/>
  <c r="A13" i="2"/>
  <c r="H12" i="2"/>
  <c r="D12" i="2"/>
  <c r="B12" i="2"/>
  <c r="A12" i="2"/>
  <c r="H11" i="2"/>
  <c r="D11" i="2"/>
  <c r="B11" i="2"/>
  <c r="A11" i="2"/>
  <c r="Q23" i="1"/>
  <c r="Q24" i="1"/>
  <c r="F17" i="1"/>
  <c r="C17" i="1"/>
  <c r="Q22" i="1"/>
  <c r="C7" i="1"/>
  <c r="E25" i="1"/>
  <c r="F25" i="1"/>
  <c r="C8" i="1"/>
  <c r="E12" i="2"/>
  <c r="E13" i="2"/>
  <c r="E22" i="1"/>
  <c r="F22" i="1"/>
  <c r="G22" i="1"/>
  <c r="K22" i="1"/>
  <c r="E21" i="1"/>
  <c r="F21" i="1"/>
  <c r="G21" i="1"/>
  <c r="E24" i="1"/>
  <c r="F24" i="1"/>
  <c r="G24" i="1"/>
  <c r="K24" i="1"/>
  <c r="G25" i="1"/>
  <c r="K25" i="1"/>
  <c r="E23" i="1"/>
  <c r="F23" i="1"/>
  <c r="G23" i="1"/>
  <c r="K23" i="1"/>
  <c r="H21" i="1"/>
  <c r="E11" i="2"/>
  <c r="C12" i="1"/>
  <c r="C11" i="1"/>
  <c r="O23" i="1" l="1"/>
  <c r="O24" i="1"/>
  <c r="O25" i="1"/>
  <c r="O21" i="1"/>
  <c r="O22" i="1"/>
  <c r="C15" i="1"/>
  <c r="F18" i="1" s="1"/>
  <c r="C16" i="1"/>
  <c r="D18" i="1" s="1"/>
  <c r="F19" i="1" l="1"/>
  <c r="C18" i="1"/>
</calcChain>
</file>

<file path=xl/sharedStrings.xml><?xml version="1.0" encoding="utf-8"?>
<sst xmlns="http://schemas.openxmlformats.org/spreadsheetml/2006/main" count="88" uniqueCount="69">
  <si>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</si>
  <si>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</si>
  <si>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</si>
  <si>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</si>
  <si>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</si>
  <si>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</si>
  <si>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</si>
  <si>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</si>
  <si>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</si>
  <si>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</si>
  <si>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</si>
  <si>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</si>
  <si>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</si>
  <si>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</si>
  <si>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</si>
  <si>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</si>
  <si>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</si>
  <si>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</si>
  <si>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</si>
  <si>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</si>
  <si>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</si>
  <si>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</si>
  <si>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</si>
  <si>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</si>
  <si>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</si>
  <si>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</si>
  <si>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</si>
  <si>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</si>
  <si>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EA/SD</t>
  </si>
  <si>
    <t>IBVS 5484</t>
  </si>
  <si>
    <t># of data points:</t>
  </si>
  <si>
    <t>21 42 06 +47 06 54?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</si>
  <si>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</si>
  <si>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</si>
  <si>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</si>
  <si>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</si>
  <si>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</si>
  <si>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</si>
  <si>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</si>
  <si>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I</t>
  </si>
  <si>
    <t>CCD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</si>
  <si>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</si>
  <si>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</si>
  <si>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</si>
  <si>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</si>
  <si>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</si>
  <si>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</si>
  <si>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</si>
  <si>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</si>
  <si>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</si>
  <si>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</si>
  <si>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2452029.53940 </t>
  </si>
  <si>
    <t> 30.04.2001 00:56 </t>
  </si>
  <si>
    <t> 0.01994 </t>
  </si>
  <si>
    <t>C </t>
  </si>
  <si>
    <t>o</t>
  </si>
  <si>
    <t> P.Hájek </t>
  </si>
  <si>
    <t>OEJV 0074 </t>
  </si>
  <si>
    <t>2452030.56930 </t>
  </si>
  <si>
    <t> 01.05.2001 01:39 </t>
  </si>
  <si>
    <t> 0.02497 </t>
  </si>
  <si>
    <t>2452476.3843 </t>
  </si>
  <si>
    <t> 20.07.2002 21:13 </t>
  </si>
  <si>
    <t> 0.0220 </t>
  </si>
  <si>
    <t>E </t>
  </si>
  <si>
    <t> F.Agerer </t>
  </si>
  <si>
    <t>BAVM 158 </t>
  </si>
  <si>
    <t>OEJV 0179</t>
  </si>
  <si>
    <t>V0651 Cyg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</si>
</sst>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7" fillId="0" borderId="0"/>
    <xf numFmtId="0" fontId="7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5" fillId="0" borderId="0" xfId="0" applyFont="1" applyAlignment="1"/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NumberFormat="1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Fill="1">
      <alignment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5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4" fillId="24" borderId="17" xfId="0" applyFont="1" applyFill="1" applyBorder="1" applyAlignment="1">
      <alignment horizontal="left" vertical="top" wrapText="1" indent="1"/>
    </xf>
    <xf numFmtId="0" fontId="4" fillId="24" borderId="17" xfId="0" applyFont="1" applyFill="1" applyBorder="1" applyAlignment="1">
      <alignment horizontal="center" vertical="top" wrapText="1"/>
    </xf>
    <xf numFmtId="0" fontId="4" fillId="24" borderId="17" xfId="0" applyFont="1" applyFill="1" applyBorder="1" applyAlignment="1">
      <alignment horizontal="right" vertical="top" wrapText="1"/>
    </xf>
    <xf numFmtId="0" fontId="15" fillId="24" borderId="17" xfId="38" applyFill="1" applyBorder="1" applyAlignment="1" applyProtection="1">
      <alignment horizontal="right" vertical="top" wrapText="1"/>
    </xf>
    <xf numFmtId="0" fontId="30" fillId="0" borderId="0" xfId="42" applyFont="1"/>
    <xf numFmtId="0" fontId="30" fillId="0" borderId="0" xfId="42" applyFont="1" applyAlignment="1">
      <alignment horizontal="center"/>
    </xf>
    <xf numFmtId="0" fontId="30" fillId="0" borderId="0" xfId="42" applyFont="1" applyAlignment="1">
      <alignment horizontal="left"/>
    </xf>
    <xf numFmtId="0" fontId="32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V0651 Cyg - O-C Diagr.</a:t>
            </a:r>
          </a:p>
        </c:rich>
      </c:tx>
      <c:layout>
        <c:manualLayout>
          <c:xMode val="edge"/>
          <c:yMode val="edge"/>
          <c:x val="0.36348983840670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23921</c:v>
                </c:pt>
                <c:pt idx="2">
                  <c:v>23485</c:v>
                </c:pt>
                <c:pt idx="3">
                  <c:v>23486</c:v>
                </c:pt>
                <c:pt idx="4">
                  <c:v>28302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E6-4B9A-AA87-8C3C2480E59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23921</c:v>
                </c:pt>
                <c:pt idx="2">
                  <c:v>23485</c:v>
                </c:pt>
                <c:pt idx="3">
                  <c:v>23486</c:v>
                </c:pt>
                <c:pt idx="4">
                  <c:v>28302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E6-4B9A-AA87-8C3C2480E59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23921</c:v>
                </c:pt>
                <c:pt idx="2">
                  <c:v>23485</c:v>
                </c:pt>
                <c:pt idx="3">
                  <c:v>23486</c:v>
                </c:pt>
                <c:pt idx="4">
                  <c:v>28302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E6-4B9A-AA87-8C3C2480E59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23921</c:v>
                </c:pt>
                <c:pt idx="2">
                  <c:v>23485</c:v>
                </c:pt>
                <c:pt idx="3">
                  <c:v>23486</c:v>
                </c:pt>
                <c:pt idx="4">
                  <c:v>28302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2.1950999995169695E-2</c:v>
                </c:pt>
                <c:pt idx="2">
                  <c:v>1.9934999996621627E-2</c:v>
                </c:pt>
                <c:pt idx="3">
                  <c:v>2.4965999997220933E-2</c:v>
                </c:pt>
                <c:pt idx="4">
                  <c:v>6.2912000001233537E-2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E6-4B9A-AA87-8C3C2480E59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23921</c:v>
                </c:pt>
                <c:pt idx="2">
                  <c:v>23485</c:v>
                </c:pt>
                <c:pt idx="3">
                  <c:v>23486</c:v>
                </c:pt>
                <c:pt idx="4">
                  <c:v>28302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E6-4B9A-AA87-8C3C2480E59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23921</c:v>
                </c:pt>
                <c:pt idx="2">
                  <c:v>23485</c:v>
                </c:pt>
                <c:pt idx="3">
                  <c:v>23486</c:v>
                </c:pt>
                <c:pt idx="4">
                  <c:v>28302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E6-4B9A-AA87-8C3C2480E59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23921</c:v>
                </c:pt>
                <c:pt idx="2">
                  <c:v>23485</c:v>
                </c:pt>
                <c:pt idx="3">
                  <c:v>23486</c:v>
                </c:pt>
                <c:pt idx="4">
                  <c:v>28302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E6-4B9A-AA87-8C3C2480E59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23921</c:v>
                </c:pt>
                <c:pt idx="2">
                  <c:v>23485</c:v>
                </c:pt>
                <c:pt idx="3">
                  <c:v>23486</c:v>
                </c:pt>
                <c:pt idx="4">
                  <c:v>28302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-4.7063346000414431E-3</c:v>
                </c:pt>
                <c:pt idx="1">
                  <c:v>3.2261483953546749E-2</c:v>
                </c:pt>
                <c:pt idx="2">
                  <c:v>3.1587683991615198E-2</c:v>
                </c:pt>
                <c:pt idx="3">
                  <c:v>3.1589229404371921E-2</c:v>
                </c:pt>
                <c:pt idx="4">
                  <c:v>3.9031937240753378E-2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E6-4B9A-AA87-8C3C2480E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12536"/>
        <c:axId val="1"/>
      </c:scatterChart>
      <c:valAx>
        <c:axId val="557612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12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40081581078618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28575</xdr:rowOff>
    </xdr:from>
    <xdr:to>
      <xdr:col>18</xdr:col>
      <xdr:colOff>133350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48362CE-C64B-2E57-873E-5407FE37B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58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5.28515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50" t="s">
        <v>68</v>
      </c>
      <c r="C1" s="12" t="s">
        <v>31</v>
      </c>
    </row>
    <row r="2" spans="1:6" x14ac:dyDescent="0.2">
      <c r="A2" t="s">
        <v>24</v>
      </c>
      <c r="B2" t="s">
        <v>28</v>
      </c>
    </row>
    <row r="3" spans="1:6" ht="13.5" thickBot="1" x14ac:dyDescent="0.25"/>
    <row r="4" spans="1:6" ht="14.25" thickTop="1" thickBot="1" x14ac:dyDescent="0.25">
      <c r="A4" s="5" t="s">
        <v>0</v>
      </c>
      <c r="C4" s="2">
        <v>27960.471000000001</v>
      </c>
      <c r="D4" s="3">
        <v>1.024869</v>
      </c>
    </row>
    <row r="5" spans="1:6" ht="13.5" thickTop="1" x14ac:dyDescent="0.2">
      <c r="A5" s="13" t="s">
        <v>32</v>
      </c>
      <c r="B5" s="14"/>
      <c r="C5" s="15">
        <v>-9.5</v>
      </c>
      <c r="D5" s="14" t="s">
        <v>33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27960.471000000001</v>
      </c>
    </row>
    <row r="8" spans="1:6" x14ac:dyDescent="0.2">
      <c r="A8" t="s">
        <v>3</v>
      </c>
      <c r="C8">
        <f>+D4</f>
        <v>1.024869</v>
      </c>
    </row>
    <row r="9" spans="1:6" x14ac:dyDescent="0.2">
      <c r="A9" s="29" t="s">
        <v>37</v>
      </c>
      <c r="B9" s="30">
        <v>21</v>
      </c>
      <c r="C9" s="18" t="str">
        <f>"F"&amp;B9</f>
        <v>F21</v>
      </c>
      <c r="D9" s="19" t="str">
        <f>"G"&amp;B9</f>
        <v>G21</v>
      </c>
    </row>
    <row r="10" spans="1:6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6" x14ac:dyDescent="0.2">
      <c r="A11" s="14" t="s">
        <v>16</v>
      </c>
      <c r="B11" s="14"/>
      <c r="C11" s="16">
        <f ca="1">INTERCEPT(INDIRECT($D$9):G992,INDIRECT($C$9):F992)</f>
        <v>-4.7063346000414431E-3</v>
      </c>
      <c r="D11" s="17"/>
      <c r="E11" s="14"/>
    </row>
    <row r="12" spans="1:6" x14ac:dyDescent="0.2">
      <c r="A12" s="14" t="s">
        <v>17</v>
      </c>
      <c r="B12" s="14"/>
      <c r="C12" s="16">
        <f ca="1">SLOPE(INDIRECT($D$9):G992,INDIRECT($C$9):F992)</f>
        <v>1.5454127567237233E-6</v>
      </c>
      <c r="D12" s="17"/>
      <c r="E12" s="14"/>
    </row>
    <row r="13" spans="1:6" x14ac:dyDescent="0.2">
      <c r="A13" s="14" t="s">
        <v>19</v>
      </c>
      <c r="B13" s="14"/>
      <c r="C13" s="17" t="s">
        <v>14</v>
      </c>
    </row>
    <row r="14" spans="1:6" x14ac:dyDescent="0.2">
      <c r="A14" s="14"/>
      <c r="B14" s="14"/>
      <c r="C14" s="14"/>
    </row>
    <row r="15" spans="1:6" x14ac:dyDescent="0.2">
      <c r="A15" s="20" t="s">
        <v>18</v>
      </c>
      <c r="B15" s="14"/>
      <c r="C15" s="21">
        <f ca="1">(C7+C11)+(C8+C12)*INT(MAX(F21:F3533))</f>
        <v>56966.352469937243</v>
      </c>
      <c r="E15" s="17"/>
      <c r="F15" s="14"/>
    </row>
    <row r="16" spans="1:6" x14ac:dyDescent="0.2">
      <c r="A16" s="24" t="s">
        <v>4</v>
      </c>
      <c r="B16" s="14"/>
      <c r="C16" s="25">
        <f ca="1">+C8+C12</f>
        <v>1.0248705454127567</v>
      </c>
      <c r="E16" s="14"/>
      <c r="F16" s="14"/>
    </row>
    <row r="17" spans="1:17" ht="13.5" thickBot="1" x14ac:dyDescent="0.25">
      <c r="A17" s="22" t="s">
        <v>30</v>
      </c>
      <c r="B17" s="14"/>
      <c r="C17" s="14">
        <f>COUNT(C21:C2191)</f>
        <v>5</v>
      </c>
      <c r="E17" s="22" t="s">
        <v>34</v>
      </c>
      <c r="F17" s="23">
        <f ca="1">TODAY()+15018.5-B5/24</f>
        <v>60340.5</v>
      </c>
    </row>
    <row r="18" spans="1:17" ht="14.25" thickTop="1" thickBot="1" x14ac:dyDescent="0.25">
      <c r="A18" s="24" t="s">
        <v>5</v>
      </c>
      <c r="B18" s="14"/>
      <c r="C18" s="27">
        <f ca="1">+C15</f>
        <v>56966.352469937243</v>
      </c>
      <c r="D18" s="28">
        <f ca="1">+C16</f>
        <v>1.0248705454127567</v>
      </c>
      <c r="E18" s="22" t="s">
        <v>35</v>
      </c>
      <c r="F18" s="23">
        <f ca="1">ROUND(2*(F17-C15)/C16,0)/2+1</f>
        <v>3293.5</v>
      </c>
    </row>
    <row r="19" spans="1:17" ht="13.5" thickTop="1" x14ac:dyDescent="0.2">
      <c r="E19" s="22" t="s">
        <v>36</v>
      </c>
      <c r="F19" s="26">
        <f ca="1">+C15+C16*F18-15018.5-C5/24</f>
        <v>45323.659444587494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50</v>
      </c>
      <c r="J20" s="7" t="s">
        <v>44</v>
      </c>
      <c r="K20" s="7" t="s">
        <v>40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27960.471000000001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-4.7063346000414431E-3</v>
      </c>
      <c r="Q21" s="1">
        <f>+C21-15018.5</f>
        <v>12941.971000000001</v>
      </c>
    </row>
    <row r="22" spans="1:17" x14ac:dyDescent="0.2">
      <c r="A22" s="9" t="s">
        <v>29</v>
      </c>
      <c r="B22" s="8"/>
      <c r="C22" s="11">
        <v>52476.384299999998</v>
      </c>
      <c r="D22" s="11">
        <v>1.6999999999999999E-3</v>
      </c>
      <c r="E22">
        <f>+(C22-C$7)/C$8</f>
        <v>23921.021418347122</v>
      </c>
      <c r="F22">
        <f>ROUND(2*E22,0)/2</f>
        <v>23921</v>
      </c>
      <c r="G22">
        <f>+C22-(C$7+F22*C$8)</f>
        <v>2.1950999995169695E-2</v>
      </c>
      <c r="K22">
        <f>+G22</f>
        <v>2.1950999995169695E-2</v>
      </c>
      <c r="O22">
        <f ca="1">+C$11+C$12*$F22</f>
        <v>3.2261483953546749E-2</v>
      </c>
      <c r="Q22" s="1">
        <f>+C22-15018.5</f>
        <v>37457.884299999998</v>
      </c>
    </row>
    <row r="23" spans="1:17" x14ac:dyDescent="0.2">
      <c r="A23" s="31" t="s">
        <v>38</v>
      </c>
      <c r="B23" s="32" t="s">
        <v>39</v>
      </c>
      <c r="C23" s="33">
        <v>52029.539400000001</v>
      </c>
      <c r="D23" s="33" t="s">
        <v>40</v>
      </c>
      <c r="E23">
        <f>+(C23-C$7)/C$8</f>
        <v>23485.019451266453</v>
      </c>
      <c r="F23">
        <f>ROUND(2*E23,0)/2</f>
        <v>23485</v>
      </c>
      <c r="G23">
        <f>+C23-(C$7+F23*C$8)</f>
        <v>1.9934999996621627E-2</v>
      </c>
      <c r="K23">
        <f>+G23</f>
        <v>1.9934999996621627E-2</v>
      </c>
      <c r="O23">
        <f ca="1">+C$11+C$12*$F23</f>
        <v>3.1587683991615198E-2</v>
      </c>
      <c r="Q23" s="1">
        <f>+C23-15018.5</f>
        <v>37011.039400000001</v>
      </c>
    </row>
    <row r="24" spans="1:17" x14ac:dyDescent="0.2">
      <c r="A24" s="31" t="s">
        <v>38</v>
      </c>
      <c r="B24" s="32" t="s">
        <v>39</v>
      </c>
      <c r="C24" s="33">
        <v>52030.569300000003</v>
      </c>
      <c r="D24" s="33" t="s">
        <v>40</v>
      </c>
      <c r="E24">
        <f>+(C24-C$7)/C$8</f>
        <v>23486.024360186522</v>
      </c>
      <c r="F24">
        <f>ROUND(2*E24,0)/2</f>
        <v>23486</v>
      </c>
      <c r="G24">
        <f>+C24-(C$7+F24*C$8)</f>
        <v>2.4965999997220933E-2</v>
      </c>
      <c r="K24">
        <f>+G24</f>
        <v>2.4965999997220933E-2</v>
      </c>
      <c r="O24">
        <f ca="1">+C$11+C$12*$F24</f>
        <v>3.1589229404371921E-2</v>
      </c>
      <c r="Q24" s="1">
        <f>+C24-15018.5</f>
        <v>37012.069300000003</v>
      </c>
    </row>
    <row r="25" spans="1:17" x14ac:dyDescent="0.2">
      <c r="A25" s="47" t="s">
        <v>67</v>
      </c>
      <c r="B25" s="48" t="s">
        <v>39</v>
      </c>
      <c r="C25" s="49">
        <v>56966.376349999999</v>
      </c>
      <c r="D25" s="49">
        <v>1E-4</v>
      </c>
      <c r="E25">
        <f>+(C25-C$7)/C$8</f>
        <v>28302.061385406327</v>
      </c>
      <c r="F25">
        <f>ROUND(2*E25,0)/2</f>
        <v>28302</v>
      </c>
      <c r="G25">
        <f>+C25-(C$7+F25*C$8)</f>
        <v>6.2912000001233537E-2</v>
      </c>
      <c r="K25">
        <f>+G25</f>
        <v>6.2912000001233537E-2</v>
      </c>
      <c r="O25">
        <f ca="1">+C$11+C$12*$F25</f>
        <v>3.9031937240753378E-2</v>
      </c>
      <c r="Q25" s="1">
        <f>+C25-15018.5</f>
        <v>41947.876349999999</v>
      </c>
    </row>
    <row r="26" spans="1:17" x14ac:dyDescent="0.2">
      <c r="C26" s="10"/>
      <c r="D26" s="10"/>
      <c r="Q26" s="1"/>
    </row>
    <row r="27" spans="1:17" x14ac:dyDescent="0.2">
      <c r="C27" s="10"/>
      <c r="D27" s="10"/>
      <c r="Q27" s="1"/>
    </row>
    <row r="28" spans="1:17" x14ac:dyDescent="0.2">
      <c r="C28" s="10"/>
      <c r="D28" s="10"/>
      <c r="Q28" s="1"/>
    </row>
    <row r="29" spans="1:17" x14ac:dyDescent="0.2">
      <c r="C29" s="10"/>
      <c r="D29" s="10"/>
      <c r="Q29" s="1"/>
    </row>
    <row r="30" spans="1:17" x14ac:dyDescent="0.2">
      <c r="C30" s="10"/>
      <c r="D30" s="10"/>
      <c r="Q30" s="1"/>
    </row>
    <row r="31" spans="1:17" x14ac:dyDescent="0.2">
      <c r="C31" s="10"/>
      <c r="D31" s="10"/>
      <c r="Q31" s="1"/>
    </row>
    <row r="32" spans="1:17" x14ac:dyDescent="0.2">
      <c r="C32" s="10"/>
      <c r="D32" s="10"/>
      <c r="Q32" s="1"/>
    </row>
    <row r="33" spans="3:17" x14ac:dyDescent="0.2">
      <c r="C33" s="10"/>
      <c r="D33" s="10"/>
      <c r="Q33" s="1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</sheetData>
  <phoneticPr fontId="6" type="noConversion"/>
  <hyperlinks>
    <hyperlink ref="H989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3"/>
  <sheetViews>
    <sheetView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14" customWidth="1"/>
    <col min="3" max="3" width="12.7109375" style="10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0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4" t="s">
        <v>41</v>
      </c>
      <c r="I1" s="35" t="s">
        <v>42</v>
      </c>
      <c r="J1" s="36" t="s">
        <v>40</v>
      </c>
    </row>
    <row r="2" spans="1:16" x14ac:dyDescent="0.2">
      <c r="I2" s="37" t="s">
        <v>43</v>
      </c>
      <c r="J2" s="38" t="s">
        <v>44</v>
      </c>
    </row>
    <row r="3" spans="1:16" x14ac:dyDescent="0.2">
      <c r="A3" s="39" t="s">
        <v>45</v>
      </c>
      <c r="I3" s="37" t="s">
        <v>46</v>
      </c>
      <c r="J3" s="38" t="s">
        <v>47</v>
      </c>
    </row>
    <row r="4" spans="1:16" x14ac:dyDescent="0.2">
      <c r="I4" s="37" t="s">
        <v>48</v>
      </c>
      <c r="J4" s="38" t="s">
        <v>47</v>
      </c>
    </row>
    <row r="5" spans="1:16" ht="13.5" thickBot="1" x14ac:dyDescent="0.25">
      <c r="I5" s="40" t="s">
        <v>49</v>
      </c>
      <c r="J5" s="41" t="s">
        <v>50</v>
      </c>
    </row>
    <row r="10" spans="1:16" ht="13.5" thickBot="1" x14ac:dyDescent="0.25"/>
    <row r="11" spans="1:16" ht="12.75" customHeight="1" thickBot="1" x14ac:dyDescent="0.25">
      <c r="A11" s="10" t="str">
        <f>P11</f>
        <v>OEJV 0074 </v>
      </c>
      <c r="B11" s="17" t="str">
        <f>IF(H11=INT(H11),"I","II")</f>
        <v>I</v>
      </c>
      <c r="C11" s="10">
        <f>1*G11</f>
        <v>52029.539400000001</v>
      </c>
      <c r="D11" s="14" t="str">
        <f>VLOOKUP(F11,I$1:J$5,2,FALSE)</f>
        <v>vis</v>
      </c>
      <c r="E11" s="42">
        <f>VLOOKUP(C11,Active!C$21:E$973,3,FALSE)</f>
        <v>23485.019451266453</v>
      </c>
      <c r="F11" s="17" t="s">
        <v>49</v>
      </c>
      <c r="G11" s="14" t="str">
        <f>MID(I11,3,LEN(I11)-3)</f>
        <v>52029.53940</v>
      </c>
      <c r="H11" s="10">
        <f>1*K11</f>
        <v>23485</v>
      </c>
      <c r="I11" s="43" t="s">
        <v>51</v>
      </c>
      <c r="J11" s="44" t="s">
        <v>52</v>
      </c>
      <c r="K11" s="43">
        <v>23485</v>
      </c>
      <c r="L11" s="43" t="s">
        <v>53</v>
      </c>
      <c r="M11" s="44" t="s">
        <v>54</v>
      </c>
      <c r="N11" s="44" t="s">
        <v>55</v>
      </c>
      <c r="O11" s="45" t="s">
        <v>56</v>
      </c>
      <c r="P11" s="46" t="s">
        <v>57</v>
      </c>
    </row>
    <row r="12" spans="1:16" ht="12.75" customHeight="1" thickBot="1" x14ac:dyDescent="0.25">
      <c r="A12" s="10" t="str">
        <f>P12</f>
        <v>OEJV 0074 </v>
      </c>
      <c r="B12" s="17" t="str">
        <f>IF(H12=INT(H12),"I","II")</f>
        <v>I</v>
      </c>
      <c r="C12" s="10">
        <f>1*G12</f>
        <v>52030.569300000003</v>
      </c>
      <c r="D12" s="14" t="str">
        <f>VLOOKUP(F12,I$1:J$5,2,FALSE)</f>
        <v>vis</v>
      </c>
      <c r="E12" s="42">
        <f>VLOOKUP(C12,Active!C$21:E$973,3,FALSE)</f>
        <v>23486.024360186522</v>
      </c>
      <c r="F12" s="17" t="s">
        <v>49</v>
      </c>
      <c r="G12" s="14" t="str">
        <f>MID(I12,3,LEN(I12)-3)</f>
        <v>52030.56930</v>
      </c>
      <c r="H12" s="10">
        <f>1*K12</f>
        <v>23486</v>
      </c>
      <c r="I12" s="43" t="s">
        <v>58</v>
      </c>
      <c r="J12" s="44" t="s">
        <v>59</v>
      </c>
      <c r="K12" s="43">
        <v>23486</v>
      </c>
      <c r="L12" s="43" t="s">
        <v>60</v>
      </c>
      <c r="M12" s="44" t="s">
        <v>54</v>
      </c>
      <c r="N12" s="44" t="s">
        <v>55</v>
      </c>
      <c r="O12" s="45" t="s">
        <v>56</v>
      </c>
      <c r="P12" s="46" t="s">
        <v>57</v>
      </c>
    </row>
    <row r="13" spans="1:16" ht="12.75" customHeight="1" thickBot="1" x14ac:dyDescent="0.25">
      <c r="A13" s="10" t="str">
        <f>P13</f>
        <v>BAVM 158 </v>
      </c>
      <c r="B13" s="17" t="str">
        <f>IF(H13=INT(H13),"I","II")</f>
        <v>I</v>
      </c>
      <c r="C13" s="10">
        <f>1*G13</f>
        <v>52476.384299999998</v>
      </c>
      <c r="D13" s="14" t="str">
        <f>VLOOKUP(F13,I$1:J$5,2,FALSE)</f>
        <v>vis</v>
      </c>
      <c r="E13" s="42">
        <f>VLOOKUP(C13,Active!C$21:E$973,3,FALSE)</f>
        <v>23921.021418347122</v>
      </c>
      <c r="F13" s="17" t="s">
        <v>49</v>
      </c>
      <c r="G13" s="14" t="str">
        <f>MID(I13,3,LEN(I13)-3)</f>
        <v>52476.3843</v>
      </c>
      <c r="H13" s="10">
        <f>1*K13</f>
        <v>23921</v>
      </c>
      <c r="I13" s="43" t="s">
        <v>61</v>
      </c>
      <c r="J13" s="44" t="s">
        <v>62</v>
      </c>
      <c r="K13" s="43">
        <v>23921</v>
      </c>
      <c r="L13" s="43" t="s">
        <v>63</v>
      </c>
      <c r="M13" s="44" t="s">
        <v>64</v>
      </c>
      <c r="N13" s="44" t="s">
        <v>55</v>
      </c>
      <c r="O13" s="45" t="s">
        <v>65</v>
      </c>
      <c r="P13" s="46" t="s">
        <v>66</v>
      </c>
    </row>
    <row r="14" spans="1:16" x14ac:dyDescent="0.2">
      <c r="B14" s="17"/>
      <c r="F14" s="17"/>
    </row>
    <row r="15" spans="1:16" x14ac:dyDescent="0.2">
      <c r="B15" s="17"/>
      <c r="F15" s="17"/>
    </row>
    <row r="16" spans="1:16" x14ac:dyDescent="0.2">
      <c r="B16" s="17"/>
      <c r="F16" s="17"/>
    </row>
    <row r="17" spans="2:6" x14ac:dyDescent="0.2">
      <c r="B17" s="17"/>
      <c r="F17" s="17"/>
    </row>
    <row r="18" spans="2:6" x14ac:dyDescent="0.2">
      <c r="B18" s="17"/>
      <c r="F18" s="17"/>
    </row>
    <row r="19" spans="2:6" x14ac:dyDescent="0.2">
      <c r="B19" s="17"/>
      <c r="F19" s="17"/>
    </row>
    <row r="20" spans="2:6" x14ac:dyDescent="0.2">
      <c r="B20" s="17"/>
      <c r="F20" s="17"/>
    </row>
    <row r="21" spans="2:6" x14ac:dyDescent="0.2">
      <c r="B21" s="17"/>
      <c r="F21" s="17"/>
    </row>
    <row r="22" spans="2:6" x14ac:dyDescent="0.2">
      <c r="B22" s="17"/>
      <c r="F22" s="17"/>
    </row>
    <row r="23" spans="2:6" x14ac:dyDescent="0.2">
      <c r="B23" s="17"/>
      <c r="F23" s="17"/>
    </row>
    <row r="24" spans="2:6" x14ac:dyDescent="0.2">
      <c r="B24" s="17"/>
      <c r="F24" s="17"/>
    </row>
    <row r="25" spans="2:6" x14ac:dyDescent="0.2">
      <c r="B25" s="17"/>
      <c r="F25" s="17"/>
    </row>
    <row r="26" spans="2:6" x14ac:dyDescent="0.2">
      <c r="B26" s="17"/>
      <c r="F26" s="17"/>
    </row>
    <row r="27" spans="2:6" x14ac:dyDescent="0.2">
      <c r="B27" s="17"/>
      <c r="F27" s="17"/>
    </row>
    <row r="28" spans="2:6" x14ac:dyDescent="0.2">
      <c r="B28" s="17"/>
      <c r="F28" s="17"/>
    </row>
    <row r="29" spans="2:6" x14ac:dyDescent="0.2">
      <c r="B29" s="17"/>
      <c r="F29" s="17"/>
    </row>
    <row r="30" spans="2:6" x14ac:dyDescent="0.2">
      <c r="B30" s="17"/>
      <c r="F30" s="17"/>
    </row>
    <row r="31" spans="2:6" x14ac:dyDescent="0.2">
      <c r="B31" s="17"/>
      <c r="F31" s="17"/>
    </row>
    <row r="32" spans="2:6" x14ac:dyDescent="0.2">
      <c r="B32" s="17"/>
      <c r="F32" s="17"/>
    </row>
    <row r="33" spans="2:6" x14ac:dyDescent="0.2">
      <c r="B33" s="17"/>
      <c r="F33" s="17"/>
    </row>
    <row r="34" spans="2:6" x14ac:dyDescent="0.2">
      <c r="B34" s="17"/>
      <c r="F34" s="17"/>
    </row>
    <row r="35" spans="2:6" x14ac:dyDescent="0.2">
      <c r="B35" s="17"/>
      <c r="F35" s="17"/>
    </row>
    <row r="36" spans="2:6" x14ac:dyDescent="0.2">
      <c r="B36" s="17"/>
      <c r="F36" s="17"/>
    </row>
    <row r="37" spans="2:6" x14ac:dyDescent="0.2">
      <c r="B37" s="17"/>
      <c r="F37" s="17"/>
    </row>
    <row r="38" spans="2:6" x14ac:dyDescent="0.2">
      <c r="B38" s="17"/>
      <c r="F38" s="17"/>
    </row>
    <row r="39" spans="2:6" x14ac:dyDescent="0.2">
      <c r="B39" s="17"/>
      <c r="F39" s="17"/>
    </row>
    <row r="40" spans="2:6" x14ac:dyDescent="0.2">
      <c r="B40" s="17"/>
      <c r="F40" s="17"/>
    </row>
    <row r="41" spans="2:6" x14ac:dyDescent="0.2">
      <c r="B41" s="17"/>
      <c r="F41" s="17"/>
    </row>
    <row r="42" spans="2:6" x14ac:dyDescent="0.2">
      <c r="B42" s="17"/>
      <c r="F42" s="17"/>
    </row>
    <row r="43" spans="2:6" x14ac:dyDescent="0.2">
      <c r="B43" s="17"/>
      <c r="F43" s="17"/>
    </row>
    <row r="44" spans="2:6" x14ac:dyDescent="0.2">
      <c r="B44" s="17"/>
      <c r="F44" s="17"/>
    </row>
    <row r="45" spans="2:6" x14ac:dyDescent="0.2">
      <c r="B45" s="17"/>
      <c r="F45" s="17"/>
    </row>
    <row r="46" spans="2:6" x14ac:dyDescent="0.2">
      <c r="B46" s="17"/>
      <c r="F46" s="17"/>
    </row>
    <row r="47" spans="2:6" x14ac:dyDescent="0.2">
      <c r="B47" s="17"/>
      <c r="F47" s="17"/>
    </row>
    <row r="48" spans="2:6" x14ac:dyDescent="0.2">
      <c r="B48" s="17"/>
      <c r="F48" s="17"/>
    </row>
    <row r="49" spans="2:6" x14ac:dyDescent="0.2">
      <c r="B49" s="17"/>
      <c r="F49" s="17"/>
    </row>
    <row r="50" spans="2:6" x14ac:dyDescent="0.2">
      <c r="B50" s="17"/>
      <c r="F50" s="17"/>
    </row>
    <row r="51" spans="2:6" x14ac:dyDescent="0.2">
      <c r="B51" s="17"/>
      <c r="F51" s="17"/>
    </row>
    <row r="52" spans="2:6" x14ac:dyDescent="0.2">
      <c r="B52" s="17"/>
      <c r="F52" s="17"/>
    </row>
    <row r="53" spans="2:6" x14ac:dyDescent="0.2">
      <c r="B53" s="17"/>
      <c r="F53" s="17"/>
    </row>
    <row r="54" spans="2:6" x14ac:dyDescent="0.2">
      <c r="B54" s="17"/>
      <c r="F54" s="17"/>
    </row>
    <row r="55" spans="2:6" x14ac:dyDescent="0.2">
      <c r="B55" s="17"/>
      <c r="F55" s="17"/>
    </row>
    <row r="56" spans="2:6" x14ac:dyDescent="0.2">
      <c r="B56" s="17"/>
      <c r="F56" s="17"/>
    </row>
    <row r="57" spans="2:6" x14ac:dyDescent="0.2">
      <c r="B57" s="17"/>
      <c r="F57" s="17"/>
    </row>
    <row r="58" spans="2:6" x14ac:dyDescent="0.2">
      <c r="B58" s="17"/>
      <c r="F58" s="17"/>
    </row>
    <row r="59" spans="2:6" x14ac:dyDescent="0.2">
      <c r="B59" s="17"/>
      <c r="F59" s="17"/>
    </row>
    <row r="60" spans="2:6" x14ac:dyDescent="0.2">
      <c r="B60" s="17"/>
      <c r="F60" s="17"/>
    </row>
    <row r="61" spans="2:6" x14ac:dyDescent="0.2">
      <c r="B61" s="17"/>
      <c r="F61" s="17"/>
    </row>
    <row r="62" spans="2:6" x14ac:dyDescent="0.2">
      <c r="B62" s="17"/>
      <c r="F62" s="17"/>
    </row>
    <row r="63" spans="2:6" x14ac:dyDescent="0.2">
      <c r="B63" s="17"/>
      <c r="F63" s="17"/>
    </row>
    <row r="64" spans="2:6" x14ac:dyDescent="0.2">
      <c r="B64" s="17"/>
      <c r="F64" s="17"/>
    </row>
    <row r="65" spans="2:6" x14ac:dyDescent="0.2">
      <c r="B65" s="17"/>
      <c r="F65" s="17"/>
    </row>
    <row r="66" spans="2:6" x14ac:dyDescent="0.2">
      <c r="B66" s="17"/>
      <c r="F66" s="17"/>
    </row>
    <row r="67" spans="2:6" x14ac:dyDescent="0.2">
      <c r="B67" s="17"/>
      <c r="F67" s="17"/>
    </row>
    <row r="68" spans="2:6" x14ac:dyDescent="0.2">
      <c r="B68" s="17"/>
      <c r="F68" s="17"/>
    </row>
    <row r="69" spans="2:6" x14ac:dyDescent="0.2">
      <c r="B69" s="17"/>
      <c r="F69" s="17"/>
    </row>
    <row r="70" spans="2:6" x14ac:dyDescent="0.2">
      <c r="B70" s="17"/>
      <c r="F70" s="17"/>
    </row>
    <row r="71" spans="2:6" x14ac:dyDescent="0.2">
      <c r="B71" s="17"/>
      <c r="F71" s="17"/>
    </row>
    <row r="72" spans="2:6" x14ac:dyDescent="0.2">
      <c r="B72" s="17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</sheetData>
  <phoneticPr fontId="6" type="noConversion"/>
  <hyperlinks>
    <hyperlink ref="P11" r:id="rId1" display="http://var.astro.cz/oejv/issues/oejv0074.pdf"/>
    <hyperlink ref="P12" r:id="rId2" display="http://var.astro.cz/oejv/issues/oejv0074.pdf"/>
    <hyperlink ref="P13" r:id="rId3" display="http://www.bav-astro.de/sfs/BAVM_link.php?BAVMnr=15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2024-01-31T04:28:21Z</dcterms:modified>
</cp:coreProperties>
</file>