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591EFB9-E1B0-461E-87E5-37D911E3DD9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G13" i="3"/>
  <c r="C13" i="3"/>
  <c r="G12" i="3"/>
  <c r="C12" i="3"/>
  <c r="G11" i="3"/>
  <c r="C11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E14" i="3"/>
  <c r="H13" i="3"/>
  <c r="B13" i="3"/>
  <c r="D13" i="3"/>
  <c r="A13" i="3"/>
  <c r="H12" i="3"/>
  <c r="B12" i="3"/>
  <c r="D12" i="3"/>
  <c r="A12" i="3"/>
  <c r="H11" i="3"/>
  <c r="B11" i="3"/>
  <c r="D11" i="3"/>
  <c r="A11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F17" i="1"/>
  <c r="C17" i="1"/>
  <c r="Q38" i="1"/>
  <c r="Q39" i="1"/>
  <c r="Q37" i="1"/>
  <c r="C7" i="1"/>
  <c r="E21" i="1"/>
  <c r="F21" i="1"/>
  <c r="C8" i="1"/>
  <c r="Q22" i="1"/>
  <c r="E16" i="3"/>
  <c r="E26" i="3"/>
  <c r="E13" i="3"/>
  <c r="E18" i="3"/>
  <c r="G34" i="1"/>
  <c r="I34" i="1"/>
  <c r="E32" i="1"/>
  <c r="F32" i="1"/>
  <c r="G32" i="1"/>
  <c r="I32" i="1"/>
  <c r="G26" i="1"/>
  <c r="I26" i="1"/>
  <c r="E24" i="1"/>
  <c r="F24" i="1"/>
  <c r="E39" i="1"/>
  <c r="F39" i="1"/>
  <c r="E29" i="1"/>
  <c r="F29" i="1"/>
  <c r="G29" i="1"/>
  <c r="I29" i="1"/>
  <c r="E34" i="1"/>
  <c r="F34" i="1"/>
  <c r="E26" i="1"/>
  <c r="F26" i="1"/>
  <c r="E31" i="1"/>
  <c r="F31" i="1"/>
  <c r="G31" i="1"/>
  <c r="I31" i="1"/>
  <c r="E23" i="1"/>
  <c r="F23" i="1"/>
  <c r="G23" i="1"/>
  <c r="I23" i="1"/>
  <c r="E38" i="1"/>
  <c r="F38" i="1"/>
  <c r="G38" i="1"/>
  <c r="K38" i="1"/>
  <c r="E36" i="1"/>
  <c r="E28" i="1"/>
  <c r="E33" i="1"/>
  <c r="F33" i="1"/>
  <c r="G33" i="1"/>
  <c r="I33" i="1"/>
  <c r="E25" i="1"/>
  <c r="F25" i="1"/>
  <c r="G25" i="1"/>
  <c r="I25" i="1"/>
  <c r="G21" i="1"/>
  <c r="E37" i="1"/>
  <c r="F37" i="1"/>
  <c r="E30" i="1"/>
  <c r="F30" i="1"/>
  <c r="G30" i="1"/>
  <c r="I30" i="1"/>
  <c r="G24" i="1"/>
  <c r="I24" i="1"/>
  <c r="G39" i="1"/>
  <c r="J39" i="1"/>
  <c r="E22" i="1"/>
  <c r="F22" i="1"/>
  <c r="G22" i="1"/>
  <c r="H22" i="1"/>
  <c r="E35" i="1"/>
  <c r="E27" i="1"/>
  <c r="E23" i="3"/>
  <c r="E12" i="3"/>
  <c r="E22" i="3"/>
  <c r="E24" i="3"/>
  <c r="E11" i="3"/>
  <c r="F27" i="1"/>
  <c r="G27" i="1"/>
  <c r="E19" i="3"/>
  <c r="F28" i="1"/>
  <c r="G28" i="1"/>
  <c r="I28" i="1"/>
  <c r="E20" i="3"/>
  <c r="E21" i="3"/>
  <c r="E25" i="3"/>
  <c r="F35" i="1"/>
  <c r="G35" i="1"/>
  <c r="J35" i="1"/>
  <c r="E27" i="3"/>
  <c r="I21" i="1"/>
  <c r="E28" i="3"/>
  <c r="F36" i="1"/>
  <c r="G36" i="1"/>
  <c r="J36" i="1"/>
  <c r="E17" i="3"/>
  <c r="E15" i="3"/>
  <c r="I27" i="1"/>
  <c r="C12" i="1"/>
  <c r="C11" i="1"/>
  <c r="O29" i="1" l="1"/>
  <c r="O25" i="1"/>
  <c r="O23" i="1"/>
  <c r="O31" i="1"/>
  <c r="O39" i="1"/>
  <c r="O28" i="1"/>
  <c r="O27" i="1"/>
  <c r="O36" i="1"/>
  <c r="O26" i="1"/>
  <c r="C15" i="1"/>
  <c r="F18" i="1" s="1"/>
  <c r="O34" i="1"/>
  <c r="O21" i="1"/>
  <c r="O22" i="1"/>
  <c r="O24" i="1"/>
  <c r="O38" i="1"/>
  <c r="O35" i="1"/>
  <c r="O30" i="1"/>
  <c r="O32" i="1"/>
  <c r="O37" i="1"/>
  <c r="O33" i="1"/>
  <c r="C16" i="1"/>
  <c r="D18" i="1" s="1"/>
  <c r="F19" i="1" l="1"/>
  <c r="C18" i="1"/>
</calcChain>
</file>

<file path=xl/sharedStrings.xml><?xml version="1.0" encoding="utf-8"?>
<sst xmlns="http://schemas.openxmlformats.org/spreadsheetml/2006/main" count="234" uniqueCount="129">
  <si>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</si>
  <si>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</si>
  <si>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</si>
  <si>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</si>
  <si>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</si>
  <si>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</si>
  <si>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</si>
  <si>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</si>
  <si>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</si>
  <si>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</si>
  <si>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</si>
  <si>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</si>
  <si>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</si>
  <si>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</si>
  <si>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</si>
  <si>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</si>
  <si>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</si>
  <si>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</si>
  <si>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</si>
  <si>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</si>
  <si>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</si>
  <si>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</si>
  <si>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</si>
  <si>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</si>
  <si>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</si>
  <si>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</si>
  <si>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</si>
  <si>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</si>
  <si>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EA/SD</t>
  </si>
  <si>
    <t>IBVS 5296</t>
  </si>
  <si>
    <t>IBVS 5657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</si>
  <si>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</si>
  <si>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</si>
  <si>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</si>
  <si>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</si>
  <si>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</si>
  <si>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</si>
  <si>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</si>
  <si>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</si>
  <si>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</si>
  <si>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</si>
  <si>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</si>
  <si>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</si>
  <si>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</si>
  <si>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</si>
  <si>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</si>
  <si>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</si>
  <si>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</si>
  <si>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</si>
  <si>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</si>
  <si>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</si>
  <si>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</si>
  <si>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2428038.460 </t>
  </si>
  <si>
    <t> 23.08.1935 23:02 </t>
  </si>
  <si>
    <t> -0.023 </t>
  </si>
  <si>
    <t>P </t>
  </si>
  <si>
    <t> E.Rohlfs </t>
  </si>
  <si>
    <t> VSS 1.476 </t>
  </si>
  <si>
    <t>2428422.431 </t>
  </si>
  <si>
    <t> 10.09.1936 22:20 </t>
  </si>
  <si>
    <t> -0.036 </t>
  </si>
  <si>
    <t>2429431.472 </t>
  </si>
  <si>
    <t> 16.06.1939 23:19 </t>
  </si>
  <si>
    <t> 0.106 </t>
  </si>
  <si>
    <t>2429491.547 </t>
  </si>
  <si>
    <t> 16.08.1939 01:07 </t>
  </si>
  <si>
    <t> -0.052 </t>
  </si>
  <si>
    <t>2429627.227 </t>
  </si>
  <si>
    <t> 29.12.1939 17:26 </t>
  </si>
  <si>
    <t> 0.104 </t>
  </si>
  <si>
    <t>2430613.466 </t>
  </si>
  <si>
    <t> 10.09.1942 23:11 </t>
  </si>
  <si>
    <t> 0.031 </t>
  </si>
  <si>
    <t>2430617.272 </t>
  </si>
  <si>
    <t> 14.09.1942 18:31 </t>
  </si>
  <si>
    <t> 0.073 </t>
  </si>
  <si>
    <t> J.I.Efremov </t>
  </si>
  <si>
    <t> PZ 8.473 </t>
  </si>
  <si>
    <t>2430820.527 </t>
  </si>
  <si>
    <t> 06.04.1943 00:38 </t>
  </si>
  <si>
    <t> 0.042 </t>
  </si>
  <si>
    <t>2432774.361 </t>
  </si>
  <si>
    <t> 10.08.1948 20:39 </t>
  </si>
  <si>
    <t> 0.075 </t>
  </si>
  <si>
    <t>2433154.445 </t>
  </si>
  <si>
    <t> 25.08.1949 22:40 </t>
  </si>
  <si>
    <t> -0.060 </t>
  </si>
  <si>
    <t>2433361.547 </t>
  </si>
  <si>
    <t> 21.03.1950 01:07 </t>
  </si>
  <si>
    <t> -0.008 </t>
  </si>
  <si>
    <t>2437615.495 </t>
  </si>
  <si>
    <t> 11.11.1961 23:52 </t>
  </si>
  <si>
    <t> -0.001 </t>
  </si>
  <si>
    <t> P.Ahnert </t>
  </si>
  <si>
    <t> MVS 712 </t>
  </si>
  <si>
    <t>2446744.430 </t>
  </si>
  <si>
    <t> 09.11.1986 22:19 </t>
  </si>
  <si>
    <t> -0.097 </t>
  </si>
  <si>
    <t>V </t>
  </si>
  <si>
    <t> J.Borovicka </t>
  </si>
  <si>
    <t> BRNO 28 </t>
  </si>
  <si>
    <t>2450693.4383 </t>
  </si>
  <si>
    <t> 01.09.1997 22:31 </t>
  </si>
  <si>
    <t> -0.1006 </t>
  </si>
  <si>
    <t> S.Macuchova </t>
  </si>
  <si>
    <t> BRNO 32 </t>
  </si>
  <si>
    <t>2450693.4619 </t>
  </si>
  <si>
    <t> 01.09.1997 23:05 </t>
  </si>
  <si>
    <t> -0.0770 </t>
  </si>
  <si>
    <t> J.Cechal </t>
  </si>
  <si>
    <t>2451195.4814 </t>
  </si>
  <si>
    <t> 16.01.1999 23:33 </t>
  </si>
  <si>
    <t> -0.6248 </t>
  </si>
  <si>
    <t>E </t>
  </si>
  <si>
    <t>o</t>
  </si>
  <si>
    <t> K.&amp; M.Rätz </t>
  </si>
  <si>
    <t>BAVM 152 </t>
  </si>
  <si>
    <t>2451796.44640 </t>
  </si>
  <si>
    <t> 08.09.2000 22:42 </t>
  </si>
  <si>
    <t> -0.10534 </t>
  </si>
  <si>
    <t>C </t>
  </si>
  <si>
    <t> J.Šafár </t>
  </si>
  <si>
    <t>OEJV 0074 </t>
  </si>
  <si>
    <t>2453155.4495 </t>
  </si>
  <si>
    <t> 29.05.2004 22:47 </t>
  </si>
  <si>
    <t> -0.1044 </t>
  </si>
  <si>
    <t> Moschner &amp; Frank </t>
  </si>
  <si>
    <t>BAVM 173 </t>
  </si>
  <si>
    <t>V0652 Cyg / GSC 3192-1061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</si>
</sst>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1" applyNumberFormat="0" applyFont="0" applyFill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>
      <alignment vertical="top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 applyAlignment="1"/>
    <xf numFmtId="0" fontId="7" fillId="0" borderId="0" xfId="0" applyNumberFormat="1" applyFont="1" applyAlignment="1">
      <alignment horizontal="left" vertical="center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4" fillId="0" borderId="0" xfId="0" applyFont="1" applyFill="1">
      <alignment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5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V0652 Cyg - O-C Diagr.</a:t>
            </a:r>
          </a:p>
        </c:rich>
      </c:tx>
      <c:layout>
        <c:manualLayout>
          <c:xMode val="edge"/>
          <c:yMode val="edge"/>
          <c:x val="0.3744431054587715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2846986475397"/>
          <c:y val="0.14678942920199375"/>
          <c:w val="0.8350674706505028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</c:v>
                </c:pt>
                <c:pt idx="3">
                  <c:v>370</c:v>
                </c:pt>
                <c:pt idx="4">
                  <c:v>386</c:v>
                </c:pt>
                <c:pt idx="5">
                  <c:v>422</c:v>
                </c:pt>
                <c:pt idx="6">
                  <c:v>684</c:v>
                </c:pt>
                <c:pt idx="7">
                  <c:v>685</c:v>
                </c:pt>
                <c:pt idx="8">
                  <c:v>739</c:v>
                </c:pt>
                <c:pt idx="9">
                  <c:v>1258</c:v>
                </c:pt>
                <c:pt idx="10">
                  <c:v>1359</c:v>
                </c:pt>
                <c:pt idx="11">
                  <c:v>1414</c:v>
                </c:pt>
                <c:pt idx="12">
                  <c:v>2544</c:v>
                </c:pt>
                <c:pt idx="13">
                  <c:v>4969</c:v>
                </c:pt>
                <c:pt idx="14">
                  <c:v>6018</c:v>
                </c:pt>
                <c:pt idx="15">
                  <c:v>6018</c:v>
                </c:pt>
                <c:pt idx="16">
                  <c:v>6151.5</c:v>
                </c:pt>
                <c:pt idx="17">
                  <c:v>6311</c:v>
                </c:pt>
                <c:pt idx="18">
                  <c:v>6672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D0-450A-B2B7-8AC5A863A5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3.8999999999999998E-3</c:v>
                  </c:pt>
                  <c:pt idx="18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3.8999999999999998E-3</c:v>
                  </c:pt>
                  <c:pt idx="18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</c:v>
                </c:pt>
                <c:pt idx="3">
                  <c:v>370</c:v>
                </c:pt>
                <c:pt idx="4">
                  <c:v>386</c:v>
                </c:pt>
                <c:pt idx="5">
                  <c:v>422</c:v>
                </c:pt>
                <c:pt idx="6">
                  <c:v>684</c:v>
                </c:pt>
                <c:pt idx="7">
                  <c:v>685</c:v>
                </c:pt>
                <c:pt idx="8">
                  <c:v>739</c:v>
                </c:pt>
                <c:pt idx="9">
                  <c:v>1258</c:v>
                </c:pt>
                <c:pt idx="10">
                  <c:v>1359</c:v>
                </c:pt>
                <c:pt idx="11">
                  <c:v>1414</c:v>
                </c:pt>
                <c:pt idx="12">
                  <c:v>2544</c:v>
                </c:pt>
                <c:pt idx="13">
                  <c:v>4969</c:v>
                </c:pt>
                <c:pt idx="14">
                  <c:v>6018</c:v>
                </c:pt>
                <c:pt idx="15">
                  <c:v>6018</c:v>
                </c:pt>
                <c:pt idx="16">
                  <c:v>6151.5</c:v>
                </c:pt>
                <c:pt idx="17">
                  <c:v>6311</c:v>
                </c:pt>
                <c:pt idx="18">
                  <c:v>6672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-2.3000000001047738E-2</c:v>
                </c:pt>
                <c:pt idx="2">
                  <c:v>-3.5997999999381136E-2</c:v>
                </c:pt>
                <c:pt idx="3">
                  <c:v>0.10586999999941327</c:v>
                </c:pt>
                <c:pt idx="4">
                  <c:v>-5.1914000003307592E-2</c:v>
                </c:pt>
                <c:pt idx="5">
                  <c:v>0.10432199999922886</c:v>
                </c:pt>
                <c:pt idx="6">
                  <c:v>3.1483999999181833E-2</c:v>
                </c:pt>
                <c:pt idx="7">
                  <c:v>7.2935000000143191E-2</c:v>
                </c:pt>
                <c:pt idx="8">
                  <c:v>4.2288999997253995E-2</c:v>
                </c:pt>
                <c:pt idx="9">
                  <c:v>7.5357999994594138E-2</c:v>
                </c:pt>
                <c:pt idx="10">
                  <c:v>-6.0090999999374617E-2</c:v>
                </c:pt>
                <c:pt idx="11">
                  <c:v>-8.2860000038635917E-3</c:v>
                </c:pt>
                <c:pt idx="12">
                  <c:v>-6.5599999652476981E-4</c:v>
                </c:pt>
                <c:pt idx="13">
                  <c:v>-9.6981000002415385E-2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D0-450A-B2B7-8AC5A863A5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3.8999999999999998E-3</c:v>
                  </c:pt>
                  <c:pt idx="18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3.8999999999999998E-3</c:v>
                  </c:pt>
                  <c:pt idx="18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</c:v>
                </c:pt>
                <c:pt idx="3">
                  <c:v>370</c:v>
                </c:pt>
                <c:pt idx="4">
                  <c:v>386</c:v>
                </c:pt>
                <c:pt idx="5">
                  <c:v>422</c:v>
                </c:pt>
                <c:pt idx="6">
                  <c:v>684</c:v>
                </c:pt>
                <c:pt idx="7">
                  <c:v>685</c:v>
                </c:pt>
                <c:pt idx="8">
                  <c:v>739</c:v>
                </c:pt>
                <c:pt idx="9">
                  <c:v>1258</c:v>
                </c:pt>
                <c:pt idx="10">
                  <c:v>1359</c:v>
                </c:pt>
                <c:pt idx="11">
                  <c:v>1414</c:v>
                </c:pt>
                <c:pt idx="12">
                  <c:v>2544</c:v>
                </c:pt>
                <c:pt idx="13">
                  <c:v>4969</c:v>
                </c:pt>
                <c:pt idx="14">
                  <c:v>6018</c:v>
                </c:pt>
                <c:pt idx="15">
                  <c:v>6018</c:v>
                </c:pt>
                <c:pt idx="16">
                  <c:v>6151.5</c:v>
                </c:pt>
                <c:pt idx="17">
                  <c:v>6311</c:v>
                </c:pt>
                <c:pt idx="18">
                  <c:v>6672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4">
                  <c:v>-0.10058199999912176</c:v>
                </c:pt>
                <c:pt idx="15">
                  <c:v>-7.6981999998679385E-2</c:v>
                </c:pt>
                <c:pt idx="16">
                  <c:v>-0.62477349999971921</c:v>
                </c:pt>
                <c:pt idx="18">
                  <c:v>-0.10442799999873387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D0-450A-B2B7-8AC5A863A5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3.8999999999999998E-3</c:v>
                  </c:pt>
                  <c:pt idx="18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3.8999999999999998E-3</c:v>
                  </c:pt>
                  <c:pt idx="18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</c:v>
                </c:pt>
                <c:pt idx="3">
                  <c:v>370</c:v>
                </c:pt>
                <c:pt idx="4">
                  <c:v>386</c:v>
                </c:pt>
                <c:pt idx="5">
                  <c:v>422</c:v>
                </c:pt>
                <c:pt idx="6">
                  <c:v>684</c:v>
                </c:pt>
                <c:pt idx="7">
                  <c:v>685</c:v>
                </c:pt>
                <c:pt idx="8">
                  <c:v>739</c:v>
                </c:pt>
                <c:pt idx="9">
                  <c:v>1258</c:v>
                </c:pt>
                <c:pt idx="10">
                  <c:v>1359</c:v>
                </c:pt>
                <c:pt idx="11">
                  <c:v>1414</c:v>
                </c:pt>
                <c:pt idx="12">
                  <c:v>2544</c:v>
                </c:pt>
                <c:pt idx="13">
                  <c:v>4969</c:v>
                </c:pt>
                <c:pt idx="14">
                  <c:v>6018</c:v>
                </c:pt>
                <c:pt idx="15">
                  <c:v>6018</c:v>
                </c:pt>
                <c:pt idx="16">
                  <c:v>6151.5</c:v>
                </c:pt>
                <c:pt idx="17">
                  <c:v>6311</c:v>
                </c:pt>
                <c:pt idx="18">
                  <c:v>6672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7">
                  <c:v>-0.10533900000154972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D0-450A-B2B7-8AC5A863A5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3.8999999999999998E-3</c:v>
                  </c:pt>
                  <c:pt idx="18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3.8999999999999998E-3</c:v>
                  </c:pt>
                  <c:pt idx="18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</c:v>
                </c:pt>
                <c:pt idx="3">
                  <c:v>370</c:v>
                </c:pt>
                <c:pt idx="4">
                  <c:v>386</c:v>
                </c:pt>
                <c:pt idx="5">
                  <c:v>422</c:v>
                </c:pt>
                <c:pt idx="6">
                  <c:v>684</c:v>
                </c:pt>
                <c:pt idx="7">
                  <c:v>685</c:v>
                </c:pt>
                <c:pt idx="8">
                  <c:v>739</c:v>
                </c:pt>
                <c:pt idx="9">
                  <c:v>1258</c:v>
                </c:pt>
                <c:pt idx="10">
                  <c:v>1359</c:v>
                </c:pt>
                <c:pt idx="11">
                  <c:v>1414</c:v>
                </c:pt>
                <c:pt idx="12">
                  <c:v>2544</c:v>
                </c:pt>
                <c:pt idx="13">
                  <c:v>4969</c:v>
                </c:pt>
                <c:pt idx="14">
                  <c:v>6018</c:v>
                </c:pt>
                <c:pt idx="15">
                  <c:v>6018</c:v>
                </c:pt>
                <c:pt idx="16">
                  <c:v>6151.5</c:v>
                </c:pt>
                <c:pt idx="17">
                  <c:v>6311</c:v>
                </c:pt>
                <c:pt idx="18">
                  <c:v>6672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D0-450A-B2B7-8AC5A863A5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3.8999999999999998E-3</c:v>
                  </c:pt>
                  <c:pt idx="18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3.8999999999999998E-3</c:v>
                  </c:pt>
                  <c:pt idx="18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</c:v>
                </c:pt>
                <c:pt idx="3">
                  <c:v>370</c:v>
                </c:pt>
                <c:pt idx="4">
                  <c:v>386</c:v>
                </c:pt>
                <c:pt idx="5">
                  <c:v>422</c:v>
                </c:pt>
                <c:pt idx="6">
                  <c:v>684</c:v>
                </c:pt>
                <c:pt idx="7">
                  <c:v>685</c:v>
                </c:pt>
                <c:pt idx="8">
                  <c:v>739</c:v>
                </c:pt>
                <c:pt idx="9">
                  <c:v>1258</c:v>
                </c:pt>
                <c:pt idx="10">
                  <c:v>1359</c:v>
                </c:pt>
                <c:pt idx="11">
                  <c:v>1414</c:v>
                </c:pt>
                <c:pt idx="12">
                  <c:v>2544</c:v>
                </c:pt>
                <c:pt idx="13">
                  <c:v>4969</c:v>
                </c:pt>
                <c:pt idx="14">
                  <c:v>6018</c:v>
                </c:pt>
                <c:pt idx="15">
                  <c:v>6018</c:v>
                </c:pt>
                <c:pt idx="16">
                  <c:v>6151.5</c:v>
                </c:pt>
                <c:pt idx="17">
                  <c:v>6311</c:v>
                </c:pt>
                <c:pt idx="18">
                  <c:v>6672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D0-450A-B2B7-8AC5A863A5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3.8999999999999998E-3</c:v>
                  </c:pt>
                  <c:pt idx="18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3.8999999999999998E-3</c:v>
                  </c:pt>
                  <c:pt idx="18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</c:v>
                </c:pt>
                <c:pt idx="3">
                  <c:v>370</c:v>
                </c:pt>
                <c:pt idx="4">
                  <c:v>386</c:v>
                </c:pt>
                <c:pt idx="5">
                  <c:v>422</c:v>
                </c:pt>
                <c:pt idx="6">
                  <c:v>684</c:v>
                </c:pt>
                <c:pt idx="7">
                  <c:v>685</c:v>
                </c:pt>
                <c:pt idx="8">
                  <c:v>739</c:v>
                </c:pt>
                <c:pt idx="9">
                  <c:v>1258</c:v>
                </c:pt>
                <c:pt idx="10">
                  <c:v>1359</c:v>
                </c:pt>
                <c:pt idx="11">
                  <c:v>1414</c:v>
                </c:pt>
                <c:pt idx="12">
                  <c:v>2544</c:v>
                </c:pt>
                <c:pt idx="13">
                  <c:v>4969</c:v>
                </c:pt>
                <c:pt idx="14">
                  <c:v>6018</c:v>
                </c:pt>
                <c:pt idx="15">
                  <c:v>6018</c:v>
                </c:pt>
                <c:pt idx="16">
                  <c:v>6151.5</c:v>
                </c:pt>
                <c:pt idx="17">
                  <c:v>6311</c:v>
                </c:pt>
                <c:pt idx="18">
                  <c:v>6672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D0-450A-B2B7-8AC5A863A5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</c:v>
                </c:pt>
                <c:pt idx="3">
                  <c:v>370</c:v>
                </c:pt>
                <c:pt idx="4">
                  <c:v>386</c:v>
                </c:pt>
                <c:pt idx="5">
                  <c:v>422</c:v>
                </c:pt>
                <c:pt idx="6">
                  <c:v>684</c:v>
                </c:pt>
                <c:pt idx="7">
                  <c:v>685</c:v>
                </c:pt>
                <c:pt idx="8">
                  <c:v>739</c:v>
                </c:pt>
                <c:pt idx="9">
                  <c:v>1258</c:v>
                </c:pt>
                <c:pt idx="10">
                  <c:v>1359</c:v>
                </c:pt>
                <c:pt idx="11">
                  <c:v>1414</c:v>
                </c:pt>
                <c:pt idx="12">
                  <c:v>2544</c:v>
                </c:pt>
                <c:pt idx="13">
                  <c:v>4969</c:v>
                </c:pt>
                <c:pt idx="14">
                  <c:v>6018</c:v>
                </c:pt>
                <c:pt idx="15">
                  <c:v>6018</c:v>
                </c:pt>
                <c:pt idx="16">
                  <c:v>6151.5</c:v>
                </c:pt>
                <c:pt idx="17">
                  <c:v>6311</c:v>
                </c:pt>
                <c:pt idx="18">
                  <c:v>6672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3.3624016527409921E-2</c:v>
                </c:pt>
                <c:pt idx="1">
                  <c:v>3.3624016527409921E-2</c:v>
                </c:pt>
                <c:pt idx="2">
                  <c:v>3.1486458209826595E-2</c:v>
                </c:pt>
                <c:pt idx="3">
                  <c:v>2.5870128512646879E-2</c:v>
                </c:pt>
                <c:pt idx="4">
                  <c:v>2.5534825247143612E-2</c:v>
                </c:pt>
                <c:pt idx="5">
                  <c:v>2.4780392899761264E-2</c:v>
                </c:pt>
                <c:pt idx="6">
                  <c:v>1.9289801927145273E-2</c:v>
                </c:pt>
                <c:pt idx="7">
                  <c:v>1.9268845473051317E-2</c:v>
                </c:pt>
                <c:pt idx="8">
                  <c:v>1.813719695197779E-2</c:v>
                </c:pt>
                <c:pt idx="9">
                  <c:v>7.2607972772155797E-3</c:v>
                </c:pt>
                <c:pt idx="10">
                  <c:v>5.1441954137262068E-3</c:v>
                </c:pt>
                <c:pt idx="11">
                  <c:v>3.9915904385587272E-3</c:v>
                </c:pt>
                <c:pt idx="12">
                  <c:v>-1.9689202687609479E-2</c:v>
                </c:pt>
                <c:pt idx="13">
                  <c:v>-7.0508603865448327E-2</c:v>
                </c:pt>
                <c:pt idx="14">
                  <c:v>-9.2491924210006266E-2</c:v>
                </c:pt>
                <c:pt idx="15">
                  <c:v>-9.2491924210006266E-2</c:v>
                </c:pt>
                <c:pt idx="16">
                  <c:v>-9.5289610831549132E-2</c:v>
                </c:pt>
                <c:pt idx="17">
                  <c:v>-9.8632165259534832E-2</c:v>
                </c:pt>
                <c:pt idx="18">
                  <c:v>-0.10619744518745228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D0-450A-B2B7-8AC5A863A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192896"/>
        <c:axId val="1"/>
      </c:scatterChart>
      <c:valAx>
        <c:axId val="724192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315155627834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192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79807576058936"/>
          <c:y val="0.9204921861831491"/>
          <c:w val="0.6211000222297622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190500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811B554-F7E1-E240-82ED-CB432D4D2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73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8" t="s">
        <v>128</v>
      </c>
    </row>
    <row r="2" spans="1:6" x14ac:dyDescent="0.2">
      <c r="A2" t="s">
        <v>24</v>
      </c>
      <c r="B2" s="9" t="s">
        <v>28</v>
      </c>
    </row>
    <row r="4" spans="1:6" ht="14.25" thickTop="1" thickBot="1" x14ac:dyDescent="0.25">
      <c r="A4" s="6" t="s">
        <v>0</v>
      </c>
      <c r="C4" s="2">
        <v>28038.483</v>
      </c>
      <c r="D4" s="3">
        <v>3.7645490000000001</v>
      </c>
    </row>
    <row r="5" spans="1:6" ht="13.5" thickTop="1" x14ac:dyDescent="0.2">
      <c r="A5" s="17" t="s">
        <v>32</v>
      </c>
      <c r="B5" s="9"/>
      <c r="C5" s="18">
        <v>-9.5</v>
      </c>
      <c r="D5" s="9" t="s">
        <v>33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28038.483</v>
      </c>
    </row>
    <row r="8" spans="1:6" x14ac:dyDescent="0.2">
      <c r="A8" t="s">
        <v>3</v>
      </c>
      <c r="C8">
        <f>+D4</f>
        <v>3.7645490000000001</v>
      </c>
    </row>
    <row r="9" spans="1:6" x14ac:dyDescent="0.2">
      <c r="A9" s="30" t="s">
        <v>37</v>
      </c>
      <c r="B9" s="31">
        <v>21</v>
      </c>
      <c r="C9" s="20" t="str">
        <f>"F"&amp;B9</f>
        <v>F21</v>
      </c>
      <c r="D9" s="15" t="str">
        <f>"G"&amp;B9</f>
        <v>G21</v>
      </c>
    </row>
    <row r="10" spans="1:6" ht="13.5" thickBot="1" x14ac:dyDescent="0.25">
      <c r="A10" s="9"/>
      <c r="B10" s="9"/>
      <c r="C10" s="5" t="s">
        <v>20</v>
      </c>
      <c r="D10" s="5" t="s">
        <v>21</v>
      </c>
      <c r="E10" s="9"/>
    </row>
    <row r="11" spans="1:6" x14ac:dyDescent="0.2">
      <c r="A11" s="9" t="s">
        <v>16</v>
      </c>
      <c r="B11" s="9"/>
      <c r="C11" s="19">
        <f ca="1">INTERCEPT(INDIRECT($D$9):G992,INDIRECT($C$9):F992)</f>
        <v>3.3624016527409921E-2</v>
      </c>
      <c r="D11" s="4"/>
      <c r="E11" s="9"/>
    </row>
    <row r="12" spans="1:6" x14ac:dyDescent="0.2">
      <c r="A12" s="9" t="s">
        <v>17</v>
      </c>
      <c r="B12" s="9"/>
      <c r="C12" s="19">
        <f ca="1">SLOPE(INDIRECT($D$9):G992,INDIRECT($C$9):F992)</f>
        <v>-2.0956454093954168E-5</v>
      </c>
      <c r="D12" s="4"/>
      <c r="E12" s="9"/>
    </row>
    <row r="13" spans="1:6" x14ac:dyDescent="0.2">
      <c r="A13" s="9" t="s">
        <v>19</v>
      </c>
      <c r="B13" s="9"/>
      <c r="C13" s="4" t="s">
        <v>14</v>
      </c>
    </row>
    <row r="14" spans="1:6" x14ac:dyDescent="0.2">
      <c r="A14" s="9"/>
      <c r="B14" s="9"/>
      <c r="C14" s="9"/>
    </row>
    <row r="15" spans="1:6" x14ac:dyDescent="0.2">
      <c r="A15" s="21" t="s">
        <v>18</v>
      </c>
      <c r="B15" s="9"/>
      <c r="C15" s="22">
        <f ca="1">(C7+C11)+(C8+C12)*INT(MAX(F21:F3533))</f>
        <v>53155.447730554813</v>
      </c>
      <c r="E15" s="4"/>
      <c r="F15" s="9"/>
    </row>
    <row r="16" spans="1:6" x14ac:dyDescent="0.2">
      <c r="A16" s="25" t="s">
        <v>4</v>
      </c>
      <c r="B16" s="9"/>
      <c r="C16" s="26">
        <f ca="1">+C8+C12</f>
        <v>3.7645280435459063</v>
      </c>
      <c r="E16" s="9"/>
      <c r="F16" s="9"/>
    </row>
    <row r="17" spans="1:17" ht="13.5" thickBot="1" x14ac:dyDescent="0.25">
      <c r="A17" s="23" t="s">
        <v>31</v>
      </c>
      <c r="B17" s="9"/>
      <c r="C17" s="9">
        <f>COUNT(C21:C2191)</f>
        <v>19</v>
      </c>
      <c r="E17" s="23" t="s">
        <v>34</v>
      </c>
      <c r="F17" s="24">
        <f ca="1">TODAY()+15018.5-B5/24</f>
        <v>60340.5</v>
      </c>
    </row>
    <row r="18" spans="1:17" ht="14.25" thickTop="1" thickBot="1" x14ac:dyDescent="0.25">
      <c r="A18" s="25" t="s">
        <v>5</v>
      </c>
      <c r="B18" s="9"/>
      <c r="C18" s="28">
        <f ca="1">+C15</f>
        <v>53155.447730554813</v>
      </c>
      <c r="D18" s="29">
        <f ca="1">+C16</f>
        <v>3.7645280435459063</v>
      </c>
      <c r="E18" s="23" t="s">
        <v>35</v>
      </c>
      <c r="F18" s="24">
        <f ca="1">ROUND(2*(F17-C15)/C16,0)/2+1</f>
        <v>1909.5</v>
      </c>
    </row>
    <row r="19" spans="1:17" ht="13.5" thickTop="1" x14ac:dyDescent="0.2">
      <c r="E19" s="23" t="s">
        <v>36</v>
      </c>
      <c r="F19" s="27">
        <f ca="1">+C15+C16*F18-15018.5-C5/24</f>
        <v>45325.709863039061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47</v>
      </c>
      <c r="I20" s="8" t="s">
        <v>50</v>
      </c>
      <c r="J20" s="8" t="s">
        <v>44</v>
      </c>
      <c r="K20" s="8" t="s">
        <v>42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t="s">
        <v>57</v>
      </c>
      <c r="B21" s="4" t="s">
        <v>39</v>
      </c>
      <c r="C21" s="14">
        <v>28038.46</v>
      </c>
      <c r="D21" s="14" t="s">
        <v>50</v>
      </c>
      <c r="E21">
        <f t="shared" ref="E21:E39" si="0">+(C21-C$7)/C$8</f>
        <v>-6.1096295999992925E-3</v>
      </c>
      <c r="F21">
        <f t="shared" ref="F21:F39" si="1">ROUND(2*E21,0)/2</f>
        <v>0</v>
      </c>
      <c r="G21">
        <f t="shared" ref="G21:G36" si="2">+C21-(C$7+F21*C$8)</f>
        <v>-2.3000000001047738E-2</v>
      </c>
      <c r="I21">
        <f>+G21</f>
        <v>-2.3000000001047738E-2</v>
      </c>
      <c r="O21">
        <f t="shared" ref="O21:O39" ca="1" si="3">+C$11+C$12*$F21</f>
        <v>3.3624016527409921E-2</v>
      </c>
      <c r="Q21" s="1">
        <f t="shared" ref="Q21:Q39" si="4">+C21-15018.5</f>
        <v>13019.96</v>
      </c>
    </row>
    <row r="22" spans="1:17" x14ac:dyDescent="0.2">
      <c r="A22" t="s">
        <v>12</v>
      </c>
      <c r="B22" s="4"/>
      <c r="C22" s="14">
        <v>28038.483</v>
      </c>
      <c r="D22" s="14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3.3624016527409921E-2</v>
      </c>
      <c r="Q22" s="1">
        <f t="shared" si="4"/>
        <v>13019.983</v>
      </c>
    </row>
    <row r="23" spans="1:17" x14ac:dyDescent="0.2">
      <c r="A23" t="s">
        <v>57</v>
      </c>
      <c r="B23" s="4" t="s">
        <v>39</v>
      </c>
      <c r="C23" s="14">
        <v>28422.431</v>
      </c>
      <c r="D23" s="14" t="s">
        <v>50</v>
      </c>
      <c r="E23">
        <f t="shared" si="0"/>
        <v>101.99043763276831</v>
      </c>
      <c r="F23">
        <f t="shared" si="1"/>
        <v>102</v>
      </c>
      <c r="G23">
        <f t="shared" si="2"/>
        <v>-3.5997999999381136E-2</v>
      </c>
      <c r="I23">
        <f t="shared" ref="I23:I34" si="5">+G23</f>
        <v>-3.5997999999381136E-2</v>
      </c>
      <c r="O23">
        <f t="shared" ca="1" si="3"/>
        <v>3.1486458209826595E-2</v>
      </c>
      <c r="Q23" s="1">
        <f t="shared" si="4"/>
        <v>13403.931</v>
      </c>
    </row>
    <row r="24" spans="1:17" x14ac:dyDescent="0.2">
      <c r="A24" t="s">
        <v>57</v>
      </c>
      <c r="B24" s="4" t="s">
        <v>39</v>
      </c>
      <c r="C24" s="14">
        <v>29431.472000000002</v>
      </c>
      <c r="D24" s="14" t="s">
        <v>50</v>
      </c>
      <c r="E24">
        <f t="shared" si="0"/>
        <v>370.02812289068396</v>
      </c>
      <c r="F24">
        <f t="shared" si="1"/>
        <v>370</v>
      </c>
      <c r="G24">
        <f t="shared" si="2"/>
        <v>0.10586999999941327</v>
      </c>
      <c r="I24">
        <f t="shared" si="5"/>
        <v>0.10586999999941327</v>
      </c>
      <c r="O24">
        <f t="shared" ca="1" si="3"/>
        <v>2.5870128512646879E-2</v>
      </c>
      <c r="Q24" s="1">
        <f t="shared" si="4"/>
        <v>14412.972000000002</v>
      </c>
    </row>
    <row r="25" spans="1:17" x14ac:dyDescent="0.2">
      <c r="A25" t="s">
        <v>57</v>
      </c>
      <c r="B25" s="4" t="s">
        <v>39</v>
      </c>
      <c r="C25" s="14">
        <v>29491.546999999999</v>
      </c>
      <c r="D25" s="14" t="s">
        <v>50</v>
      </c>
      <c r="E25">
        <f t="shared" si="0"/>
        <v>385.98620976908478</v>
      </c>
      <c r="F25">
        <f t="shared" si="1"/>
        <v>386</v>
      </c>
      <c r="G25">
        <f t="shared" si="2"/>
        <v>-5.1914000003307592E-2</v>
      </c>
      <c r="I25">
        <f t="shared" si="5"/>
        <v>-5.1914000003307592E-2</v>
      </c>
      <c r="O25">
        <f t="shared" ca="1" si="3"/>
        <v>2.5534825247143612E-2</v>
      </c>
      <c r="Q25" s="1">
        <f t="shared" si="4"/>
        <v>14473.046999999999</v>
      </c>
    </row>
    <row r="26" spans="1:17" x14ac:dyDescent="0.2">
      <c r="A26" t="s">
        <v>57</v>
      </c>
      <c r="B26" s="4" t="s">
        <v>39</v>
      </c>
      <c r="C26" s="14">
        <v>29627.226999999999</v>
      </c>
      <c r="D26" s="14" t="s">
        <v>50</v>
      </c>
      <c r="E26">
        <f t="shared" si="0"/>
        <v>422.02771168604755</v>
      </c>
      <c r="F26">
        <f t="shared" si="1"/>
        <v>422</v>
      </c>
      <c r="G26">
        <f t="shared" si="2"/>
        <v>0.10432199999922886</v>
      </c>
      <c r="I26">
        <f t="shared" si="5"/>
        <v>0.10432199999922886</v>
      </c>
      <c r="O26">
        <f t="shared" ca="1" si="3"/>
        <v>2.4780392899761264E-2</v>
      </c>
      <c r="Q26" s="1">
        <f t="shared" si="4"/>
        <v>14608.726999999999</v>
      </c>
    </row>
    <row r="27" spans="1:17" x14ac:dyDescent="0.2">
      <c r="A27" t="s">
        <v>57</v>
      </c>
      <c r="B27" s="4" t="s">
        <v>39</v>
      </c>
      <c r="C27" s="14">
        <v>30613.466</v>
      </c>
      <c r="D27" s="14" t="s">
        <v>50</v>
      </c>
      <c r="E27">
        <f t="shared" si="0"/>
        <v>684.00836328601383</v>
      </c>
      <c r="F27">
        <f t="shared" si="1"/>
        <v>684</v>
      </c>
      <c r="G27">
        <f t="shared" si="2"/>
        <v>3.1483999999181833E-2</v>
      </c>
      <c r="I27">
        <f t="shared" si="5"/>
        <v>3.1483999999181833E-2</v>
      </c>
      <c r="O27">
        <f t="shared" ca="1" si="3"/>
        <v>1.9289801927145273E-2</v>
      </c>
      <c r="Q27" s="1">
        <f t="shared" si="4"/>
        <v>15594.966</v>
      </c>
    </row>
    <row r="28" spans="1:17" x14ac:dyDescent="0.2">
      <c r="A28" t="s">
        <v>77</v>
      </c>
      <c r="B28" s="4" t="s">
        <v>39</v>
      </c>
      <c r="C28" s="14">
        <v>30617.272000000001</v>
      </c>
      <c r="D28" s="14" t="s">
        <v>50</v>
      </c>
      <c r="E28">
        <f t="shared" si="0"/>
        <v>685.01937416673297</v>
      </c>
      <c r="F28">
        <f t="shared" si="1"/>
        <v>685</v>
      </c>
      <c r="G28">
        <f t="shared" si="2"/>
        <v>7.2935000000143191E-2</v>
      </c>
      <c r="I28">
        <f t="shared" si="5"/>
        <v>7.2935000000143191E-2</v>
      </c>
      <c r="O28">
        <f t="shared" ca="1" si="3"/>
        <v>1.9268845473051317E-2</v>
      </c>
      <c r="Q28" s="1">
        <f t="shared" si="4"/>
        <v>15598.772000000001</v>
      </c>
    </row>
    <row r="29" spans="1:17" x14ac:dyDescent="0.2">
      <c r="A29" t="s">
        <v>57</v>
      </c>
      <c r="B29" s="4" t="s">
        <v>39</v>
      </c>
      <c r="C29" s="14">
        <v>30820.526999999998</v>
      </c>
      <c r="D29" s="14" t="s">
        <v>50</v>
      </c>
      <c r="E29">
        <f t="shared" si="0"/>
        <v>739.01123348374483</v>
      </c>
      <c r="F29">
        <f t="shared" si="1"/>
        <v>739</v>
      </c>
      <c r="G29">
        <f t="shared" si="2"/>
        <v>4.2288999997253995E-2</v>
      </c>
      <c r="I29">
        <f t="shared" si="5"/>
        <v>4.2288999997253995E-2</v>
      </c>
      <c r="O29">
        <f t="shared" ca="1" si="3"/>
        <v>1.813719695197779E-2</v>
      </c>
      <c r="Q29" s="1">
        <f t="shared" si="4"/>
        <v>15802.026999999998</v>
      </c>
    </row>
    <row r="30" spans="1:17" x14ac:dyDescent="0.2">
      <c r="A30" t="s">
        <v>77</v>
      </c>
      <c r="B30" s="4" t="s">
        <v>39</v>
      </c>
      <c r="C30" s="14">
        <v>32774.360999999997</v>
      </c>
      <c r="D30" s="14" t="s">
        <v>50</v>
      </c>
      <c r="E30">
        <f t="shared" si="0"/>
        <v>1258.0200178029286</v>
      </c>
      <c r="F30">
        <f t="shared" si="1"/>
        <v>1258</v>
      </c>
      <c r="G30">
        <f t="shared" si="2"/>
        <v>7.5357999994594138E-2</v>
      </c>
      <c r="I30">
        <f t="shared" si="5"/>
        <v>7.5357999994594138E-2</v>
      </c>
      <c r="O30">
        <f t="shared" ca="1" si="3"/>
        <v>7.2607972772155797E-3</v>
      </c>
      <c r="Q30" s="1">
        <f t="shared" si="4"/>
        <v>17755.860999999997</v>
      </c>
    </row>
    <row r="31" spans="1:17" x14ac:dyDescent="0.2">
      <c r="A31" t="s">
        <v>77</v>
      </c>
      <c r="B31" s="4" t="s">
        <v>39</v>
      </c>
      <c r="C31" s="14">
        <v>33154.445</v>
      </c>
      <c r="D31" s="14" t="s">
        <v>50</v>
      </c>
      <c r="E31">
        <f t="shared" si="0"/>
        <v>1358.9840376629443</v>
      </c>
      <c r="F31">
        <f t="shared" si="1"/>
        <v>1359</v>
      </c>
      <c r="G31">
        <f t="shared" si="2"/>
        <v>-6.0090999999374617E-2</v>
      </c>
      <c r="I31">
        <f t="shared" si="5"/>
        <v>-6.0090999999374617E-2</v>
      </c>
      <c r="O31">
        <f t="shared" ca="1" si="3"/>
        <v>5.1441954137262068E-3</v>
      </c>
      <c r="Q31" s="1">
        <f t="shared" si="4"/>
        <v>18135.945</v>
      </c>
    </row>
    <row r="32" spans="1:17" x14ac:dyDescent="0.2">
      <c r="A32" t="s">
        <v>77</v>
      </c>
      <c r="B32" s="4" t="s">
        <v>39</v>
      </c>
      <c r="C32" s="14">
        <v>33361.546999999999</v>
      </c>
      <c r="D32" s="14" t="s">
        <v>50</v>
      </c>
      <c r="E32">
        <f t="shared" si="0"/>
        <v>1413.9977989395272</v>
      </c>
      <c r="F32">
        <f t="shared" si="1"/>
        <v>1414</v>
      </c>
      <c r="G32">
        <f t="shared" si="2"/>
        <v>-8.2860000038635917E-3</v>
      </c>
      <c r="I32">
        <f t="shared" si="5"/>
        <v>-8.2860000038635917E-3</v>
      </c>
      <c r="O32">
        <f t="shared" ca="1" si="3"/>
        <v>3.9915904385587272E-3</v>
      </c>
      <c r="Q32" s="1">
        <f t="shared" si="4"/>
        <v>18343.046999999999</v>
      </c>
    </row>
    <row r="33" spans="1:18" x14ac:dyDescent="0.2">
      <c r="A33" t="s">
        <v>94</v>
      </c>
      <c r="B33" s="4" t="s">
        <v>39</v>
      </c>
      <c r="C33" s="14">
        <v>37615.495000000003</v>
      </c>
      <c r="D33" s="14" t="s">
        <v>50</v>
      </c>
      <c r="E33">
        <f t="shared" si="0"/>
        <v>2543.9998257427387</v>
      </c>
      <c r="F33">
        <f t="shared" si="1"/>
        <v>2544</v>
      </c>
      <c r="G33">
        <f t="shared" si="2"/>
        <v>-6.5599999652476981E-4</v>
      </c>
      <c r="I33">
        <f t="shared" si="5"/>
        <v>-6.5599999652476981E-4</v>
      </c>
      <c r="O33">
        <f t="shared" ca="1" si="3"/>
        <v>-1.9689202687609479E-2</v>
      </c>
      <c r="Q33" s="1">
        <f t="shared" si="4"/>
        <v>22596.995000000003</v>
      </c>
    </row>
    <row r="34" spans="1:18" x14ac:dyDescent="0.2">
      <c r="A34" t="s">
        <v>100</v>
      </c>
      <c r="B34" s="4" t="s">
        <v>39</v>
      </c>
      <c r="C34" s="14">
        <v>46744.43</v>
      </c>
      <c r="D34" s="14" t="s">
        <v>50</v>
      </c>
      <c r="E34">
        <f t="shared" si="0"/>
        <v>4968.9742383483381</v>
      </c>
      <c r="F34">
        <f t="shared" si="1"/>
        <v>4969</v>
      </c>
      <c r="G34">
        <f t="shared" si="2"/>
        <v>-9.6981000002415385E-2</v>
      </c>
      <c r="I34">
        <f t="shared" si="5"/>
        <v>-9.6981000002415385E-2</v>
      </c>
      <c r="O34">
        <f t="shared" ca="1" si="3"/>
        <v>-7.0508603865448327E-2</v>
      </c>
      <c r="Q34" s="1">
        <f t="shared" si="4"/>
        <v>31725.93</v>
      </c>
    </row>
    <row r="35" spans="1:18" x14ac:dyDescent="0.2">
      <c r="A35" t="s">
        <v>105</v>
      </c>
      <c r="B35" s="4" t="s">
        <v>39</v>
      </c>
      <c r="C35" s="14">
        <v>50693.438300000002</v>
      </c>
      <c r="D35" s="14" t="s">
        <v>50</v>
      </c>
      <c r="E35">
        <f t="shared" si="0"/>
        <v>6017.9732817928525</v>
      </c>
      <c r="F35">
        <f t="shared" si="1"/>
        <v>6018</v>
      </c>
      <c r="G35">
        <f t="shared" si="2"/>
        <v>-0.10058199999912176</v>
      </c>
      <c r="J35">
        <f>+G35</f>
        <v>-0.10058199999912176</v>
      </c>
      <c r="O35">
        <f t="shared" ca="1" si="3"/>
        <v>-9.2491924210006266E-2</v>
      </c>
      <c r="Q35" s="1">
        <f t="shared" si="4"/>
        <v>35674.938300000002</v>
      </c>
    </row>
    <row r="36" spans="1:18" x14ac:dyDescent="0.2">
      <c r="A36" t="s">
        <v>105</v>
      </c>
      <c r="B36" s="4" t="s">
        <v>39</v>
      </c>
      <c r="C36" s="14">
        <v>50693.461900000002</v>
      </c>
      <c r="D36" s="14" t="s">
        <v>50</v>
      </c>
      <c r="E36">
        <f t="shared" si="0"/>
        <v>6017.9795508040943</v>
      </c>
      <c r="F36">
        <f t="shared" si="1"/>
        <v>6018</v>
      </c>
      <c r="G36">
        <f t="shared" si="2"/>
        <v>-7.6981999998679385E-2</v>
      </c>
      <c r="J36">
        <f>+G36</f>
        <v>-7.6981999998679385E-2</v>
      </c>
      <c r="O36">
        <f t="shared" ca="1" si="3"/>
        <v>-9.2491924210006266E-2</v>
      </c>
      <c r="Q36" s="1">
        <f t="shared" si="4"/>
        <v>35674.961900000002</v>
      </c>
    </row>
    <row r="37" spans="1:18" x14ac:dyDescent="0.2">
      <c r="A37" s="10" t="s">
        <v>29</v>
      </c>
      <c r="B37" s="11"/>
      <c r="C37" s="16">
        <v>51195.481399999997</v>
      </c>
      <c r="D37" s="16">
        <v>1E-3</v>
      </c>
      <c r="E37">
        <f t="shared" si="0"/>
        <v>6151.3340376230981</v>
      </c>
      <c r="F37">
        <f t="shared" si="1"/>
        <v>6151.5</v>
      </c>
      <c r="J37" s="15">
        <v>-0.62477349999971921</v>
      </c>
      <c r="O37">
        <f t="shared" ca="1" si="3"/>
        <v>-9.5289610831549132E-2</v>
      </c>
      <c r="Q37" s="1">
        <f t="shared" si="4"/>
        <v>36176.981399999997</v>
      </c>
      <c r="R37" t="s">
        <v>44</v>
      </c>
    </row>
    <row r="38" spans="1:18" x14ac:dyDescent="0.2">
      <c r="A38" s="32" t="s">
        <v>38</v>
      </c>
      <c r="B38" s="33" t="s">
        <v>39</v>
      </c>
      <c r="C38" s="34">
        <v>51796.446400000001</v>
      </c>
      <c r="D38" s="34">
        <v>3.8999999999999998E-3</v>
      </c>
      <c r="E38">
        <f t="shared" si="0"/>
        <v>6310.9720181620696</v>
      </c>
      <c r="F38">
        <f t="shared" si="1"/>
        <v>6311</v>
      </c>
      <c r="G38">
        <f>+C38-(C$7+F38*C$8)</f>
        <v>-0.10533900000154972</v>
      </c>
      <c r="K38">
        <f>+G38</f>
        <v>-0.10533900000154972</v>
      </c>
      <c r="O38">
        <f t="shared" ca="1" si="3"/>
        <v>-9.8632165259534832E-2</v>
      </c>
      <c r="Q38" s="1">
        <f t="shared" si="4"/>
        <v>36777.946400000001</v>
      </c>
    </row>
    <row r="39" spans="1:18" x14ac:dyDescent="0.2">
      <c r="A39" s="12" t="s">
        <v>30</v>
      </c>
      <c r="B39" s="13"/>
      <c r="C39" s="14">
        <v>53155.449500000002</v>
      </c>
      <c r="D39" s="14">
        <v>2.8999999999999998E-3</v>
      </c>
      <c r="E39">
        <f t="shared" si="0"/>
        <v>6671.972260156529</v>
      </c>
      <c r="F39">
        <f t="shared" si="1"/>
        <v>6672</v>
      </c>
      <c r="G39">
        <f>+C39-(C$7+F39*C$8)</f>
        <v>-0.10442799999873387</v>
      </c>
      <c r="J39">
        <f>+G39</f>
        <v>-0.10442799999873387</v>
      </c>
      <c r="O39">
        <f t="shared" ca="1" si="3"/>
        <v>-0.10619744518745228</v>
      </c>
      <c r="Q39" s="1">
        <f t="shared" si="4"/>
        <v>38136.949500000002</v>
      </c>
      <c r="R39" t="s">
        <v>44</v>
      </c>
    </row>
    <row r="40" spans="1:18" x14ac:dyDescent="0.2">
      <c r="B40" s="4"/>
      <c r="C40" s="14"/>
      <c r="D40" s="14"/>
    </row>
    <row r="41" spans="1:18" x14ac:dyDescent="0.2">
      <c r="B41" s="4"/>
      <c r="C41" s="14"/>
      <c r="D41" s="14"/>
    </row>
    <row r="42" spans="1:18" x14ac:dyDescent="0.2">
      <c r="B42" s="4"/>
      <c r="D42" s="4"/>
    </row>
    <row r="43" spans="1:18" x14ac:dyDescent="0.2">
      <c r="D43" s="4"/>
    </row>
    <row r="44" spans="1:18" x14ac:dyDescent="0.2">
      <c r="D44" s="4"/>
    </row>
    <row r="45" spans="1:18" x14ac:dyDescent="0.2">
      <c r="D45" s="4"/>
    </row>
    <row r="46" spans="1:18" x14ac:dyDescent="0.2">
      <c r="D46" s="4"/>
    </row>
    <row r="47" spans="1:18" x14ac:dyDescent="0.2">
      <c r="D47" s="4"/>
    </row>
    <row r="48" spans="1:18" x14ac:dyDescent="0.2">
      <c r="D48" s="4"/>
    </row>
    <row r="49" spans="4:4" x14ac:dyDescent="0.2">
      <c r="D49" s="4"/>
    </row>
    <row r="50" spans="4:4" x14ac:dyDescent="0.2">
      <c r="D50" s="4"/>
    </row>
    <row r="51" spans="4:4" x14ac:dyDescent="0.2">
      <c r="D51" s="4"/>
    </row>
    <row r="52" spans="4:4" x14ac:dyDescent="0.2">
      <c r="D52" s="4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1"/>
  <sheetViews>
    <sheetView topLeftCell="A6" workbookViewId="0">
      <selection activeCell="A14" sqref="A14:D28"/>
    </sheetView>
  </sheetViews>
  <sheetFormatPr defaultRowHeight="12.75" x14ac:dyDescent="0.2"/>
  <cols>
    <col min="1" max="1" width="19.7109375" style="14" customWidth="1"/>
    <col min="2" max="2" width="4.42578125" style="9" customWidth="1"/>
    <col min="3" max="3" width="12.7109375" style="14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4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5" t="s">
        <v>40</v>
      </c>
      <c r="I1" s="36" t="s">
        <v>41</v>
      </c>
      <c r="J1" s="37" t="s">
        <v>42</v>
      </c>
    </row>
    <row r="2" spans="1:16" x14ac:dyDescent="0.2">
      <c r="I2" s="38" t="s">
        <v>43</v>
      </c>
      <c r="J2" s="39" t="s">
        <v>44</v>
      </c>
    </row>
    <row r="3" spans="1:16" x14ac:dyDescent="0.2">
      <c r="A3" s="40" t="s">
        <v>45</v>
      </c>
      <c r="I3" s="38" t="s">
        <v>46</v>
      </c>
      <c r="J3" s="39" t="s">
        <v>47</v>
      </c>
    </row>
    <row r="4" spans="1:16" x14ac:dyDescent="0.2">
      <c r="I4" s="38" t="s">
        <v>48</v>
      </c>
      <c r="J4" s="39" t="s">
        <v>47</v>
      </c>
    </row>
    <row r="5" spans="1:16" ht="13.5" thickBot="1" x14ac:dyDescent="0.25">
      <c r="I5" s="41" t="s">
        <v>49</v>
      </c>
      <c r="J5" s="42" t="s">
        <v>50</v>
      </c>
    </row>
    <row r="10" spans="1:16" ht="13.5" thickBot="1" x14ac:dyDescent="0.25"/>
    <row r="11" spans="1:16" ht="12.75" customHeight="1" thickBot="1" x14ac:dyDescent="0.25">
      <c r="A11" s="14" t="str">
        <f t="shared" ref="A11:A28" si="0">P11</f>
        <v>BAVM 152 </v>
      </c>
      <c r="B11" s="4" t="str">
        <f t="shared" ref="B11:B28" si="1">IF(H11=INT(H11),"I","II")</f>
        <v>II</v>
      </c>
      <c r="C11" s="14">
        <f t="shared" ref="C11:C28" si="2">1*G11</f>
        <v>51195.481399999997</v>
      </c>
      <c r="D11" s="9" t="str">
        <f t="shared" ref="D11:D28" si="3">VLOOKUP(F11,I$1:J$5,2,FALSE)</f>
        <v>vis</v>
      </c>
      <c r="E11" s="43">
        <f>VLOOKUP(C11,Active!C$21:E$973,3,FALSE)</f>
        <v>6151.3340376230981</v>
      </c>
      <c r="F11" s="4" t="s">
        <v>49</v>
      </c>
      <c r="G11" s="9" t="str">
        <f t="shared" ref="G11:G28" si="4">MID(I11,3,LEN(I11)-3)</f>
        <v>51195.4814</v>
      </c>
      <c r="H11" s="14">
        <f t="shared" ref="H11:H28" si="5">1*K11</f>
        <v>6151.5</v>
      </c>
      <c r="I11" s="44" t="s">
        <v>110</v>
      </c>
      <c r="J11" s="45" t="s">
        <v>111</v>
      </c>
      <c r="K11" s="44">
        <v>6151.5</v>
      </c>
      <c r="L11" s="44" t="s">
        <v>112</v>
      </c>
      <c r="M11" s="45" t="s">
        <v>113</v>
      </c>
      <c r="N11" s="45" t="s">
        <v>114</v>
      </c>
      <c r="O11" s="46" t="s">
        <v>115</v>
      </c>
      <c r="P11" s="47" t="s">
        <v>116</v>
      </c>
    </row>
    <row r="12" spans="1:16" ht="12.75" customHeight="1" thickBot="1" x14ac:dyDescent="0.25">
      <c r="A12" s="14" t="str">
        <f t="shared" si="0"/>
        <v>OEJV 0074 </v>
      </c>
      <c r="B12" s="4" t="str">
        <f t="shared" si="1"/>
        <v>I</v>
      </c>
      <c r="C12" s="14">
        <f t="shared" si="2"/>
        <v>51796.446400000001</v>
      </c>
      <c r="D12" s="9" t="str">
        <f t="shared" si="3"/>
        <v>vis</v>
      </c>
      <c r="E12" s="43">
        <f>VLOOKUP(C12,Active!C$21:E$973,3,FALSE)</f>
        <v>6310.9720181620696</v>
      </c>
      <c r="F12" s="4" t="s">
        <v>49</v>
      </c>
      <c r="G12" s="9" t="str">
        <f t="shared" si="4"/>
        <v>51796.44640</v>
      </c>
      <c r="H12" s="14">
        <f t="shared" si="5"/>
        <v>6311</v>
      </c>
      <c r="I12" s="44" t="s">
        <v>117</v>
      </c>
      <c r="J12" s="45" t="s">
        <v>118</v>
      </c>
      <c r="K12" s="44">
        <v>6311</v>
      </c>
      <c r="L12" s="44" t="s">
        <v>119</v>
      </c>
      <c r="M12" s="45" t="s">
        <v>120</v>
      </c>
      <c r="N12" s="45" t="s">
        <v>114</v>
      </c>
      <c r="O12" s="46" t="s">
        <v>121</v>
      </c>
      <c r="P12" s="47" t="s">
        <v>122</v>
      </c>
    </row>
    <row r="13" spans="1:16" ht="12.75" customHeight="1" thickBot="1" x14ac:dyDescent="0.25">
      <c r="A13" s="14" t="str">
        <f t="shared" si="0"/>
        <v>BAVM 173 </v>
      </c>
      <c r="B13" s="4" t="str">
        <f t="shared" si="1"/>
        <v>I</v>
      </c>
      <c r="C13" s="14">
        <f t="shared" si="2"/>
        <v>53155.449500000002</v>
      </c>
      <c r="D13" s="9" t="str">
        <f t="shared" si="3"/>
        <v>vis</v>
      </c>
      <c r="E13" s="43">
        <f>VLOOKUP(C13,Active!C$21:E$973,3,FALSE)</f>
        <v>6671.972260156529</v>
      </c>
      <c r="F13" s="4" t="s">
        <v>49</v>
      </c>
      <c r="G13" s="9" t="str">
        <f t="shared" si="4"/>
        <v>53155.4495</v>
      </c>
      <c r="H13" s="14">
        <f t="shared" si="5"/>
        <v>6672</v>
      </c>
      <c r="I13" s="44" t="s">
        <v>123</v>
      </c>
      <c r="J13" s="45" t="s">
        <v>124</v>
      </c>
      <c r="K13" s="44">
        <v>6672</v>
      </c>
      <c r="L13" s="44" t="s">
        <v>125</v>
      </c>
      <c r="M13" s="45" t="s">
        <v>113</v>
      </c>
      <c r="N13" s="45" t="s">
        <v>114</v>
      </c>
      <c r="O13" s="46" t="s">
        <v>126</v>
      </c>
      <c r="P13" s="47" t="s">
        <v>127</v>
      </c>
    </row>
    <row r="14" spans="1:16" ht="12.75" customHeight="1" thickBot="1" x14ac:dyDescent="0.25">
      <c r="A14" s="14" t="str">
        <f t="shared" si="0"/>
        <v> VSS 1.476 </v>
      </c>
      <c r="B14" s="4" t="str">
        <f t="shared" si="1"/>
        <v>I</v>
      </c>
      <c r="C14" s="14">
        <f t="shared" si="2"/>
        <v>28038.46</v>
      </c>
      <c r="D14" s="9" t="str">
        <f t="shared" si="3"/>
        <v>vis</v>
      </c>
      <c r="E14" s="43">
        <f>VLOOKUP(C14,Active!C$21:E$973,3,FALSE)</f>
        <v>-6.1096295999992925E-3</v>
      </c>
      <c r="F14" s="4" t="s">
        <v>49</v>
      </c>
      <c r="G14" s="9" t="str">
        <f t="shared" si="4"/>
        <v>28038.460</v>
      </c>
      <c r="H14" s="14">
        <f t="shared" si="5"/>
        <v>0</v>
      </c>
      <c r="I14" s="44" t="s">
        <v>52</v>
      </c>
      <c r="J14" s="45" t="s">
        <v>53</v>
      </c>
      <c r="K14" s="44">
        <v>0</v>
      </c>
      <c r="L14" s="44" t="s">
        <v>54</v>
      </c>
      <c r="M14" s="45" t="s">
        <v>55</v>
      </c>
      <c r="N14" s="45"/>
      <c r="O14" s="46" t="s">
        <v>56</v>
      </c>
      <c r="P14" s="46" t="s">
        <v>57</v>
      </c>
    </row>
    <row r="15" spans="1:16" ht="12.75" customHeight="1" thickBot="1" x14ac:dyDescent="0.25">
      <c r="A15" s="14" t="str">
        <f t="shared" si="0"/>
        <v> VSS 1.476 </v>
      </c>
      <c r="B15" s="4" t="str">
        <f t="shared" si="1"/>
        <v>I</v>
      </c>
      <c r="C15" s="14">
        <f t="shared" si="2"/>
        <v>28422.431</v>
      </c>
      <c r="D15" s="9" t="str">
        <f t="shared" si="3"/>
        <v>vis</v>
      </c>
      <c r="E15" s="43">
        <f>VLOOKUP(C15,Active!C$21:E$973,3,FALSE)</f>
        <v>101.99043763276831</v>
      </c>
      <c r="F15" s="4" t="s">
        <v>49</v>
      </c>
      <c r="G15" s="9" t="str">
        <f t="shared" si="4"/>
        <v>28422.431</v>
      </c>
      <c r="H15" s="14">
        <f t="shared" si="5"/>
        <v>102</v>
      </c>
      <c r="I15" s="44" t="s">
        <v>58</v>
      </c>
      <c r="J15" s="45" t="s">
        <v>59</v>
      </c>
      <c r="K15" s="44">
        <v>102</v>
      </c>
      <c r="L15" s="44" t="s">
        <v>60</v>
      </c>
      <c r="M15" s="45" t="s">
        <v>55</v>
      </c>
      <c r="N15" s="45"/>
      <c r="O15" s="46" t="s">
        <v>56</v>
      </c>
      <c r="P15" s="46" t="s">
        <v>57</v>
      </c>
    </row>
    <row r="16" spans="1:16" ht="12.75" customHeight="1" thickBot="1" x14ac:dyDescent="0.25">
      <c r="A16" s="14" t="str">
        <f t="shared" si="0"/>
        <v> VSS 1.476 </v>
      </c>
      <c r="B16" s="4" t="str">
        <f t="shared" si="1"/>
        <v>I</v>
      </c>
      <c r="C16" s="14">
        <f t="shared" si="2"/>
        <v>29431.472000000002</v>
      </c>
      <c r="D16" s="9" t="str">
        <f t="shared" si="3"/>
        <v>vis</v>
      </c>
      <c r="E16" s="43">
        <f>VLOOKUP(C16,Active!C$21:E$973,3,FALSE)</f>
        <v>370.02812289068396</v>
      </c>
      <c r="F16" s="4" t="s">
        <v>49</v>
      </c>
      <c r="G16" s="9" t="str">
        <f t="shared" si="4"/>
        <v>29431.472</v>
      </c>
      <c r="H16" s="14">
        <f t="shared" si="5"/>
        <v>370</v>
      </c>
      <c r="I16" s="44" t="s">
        <v>61</v>
      </c>
      <c r="J16" s="45" t="s">
        <v>62</v>
      </c>
      <c r="K16" s="44">
        <v>370</v>
      </c>
      <c r="L16" s="44" t="s">
        <v>63</v>
      </c>
      <c r="M16" s="45" t="s">
        <v>55</v>
      </c>
      <c r="N16" s="45"/>
      <c r="O16" s="46" t="s">
        <v>56</v>
      </c>
      <c r="P16" s="46" t="s">
        <v>57</v>
      </c>
    </row>
    <row r="17" spans="1:16" ht="12.75" customHeight="1" thickBot="1" x14ac:dyDescent="0.25">
      <c r="A17" s="14" t="str">
        <f t="shared" si="0"/>
        <v> VSS 1.476 </v>
      </c>
      <c r="B17" s="4" t="str">
        <f t="shared" si="1"/>
        <v>I</v>
      </c>
      <c r="C17" s="14">
        <f t="shared" si="2"/>
        <v>29491.546999999999</v>
      </c>
      <c r="D17" s="9" t="str">
        <f t="shared" si="3"/>
        <v>vis</v>
      </c>
      <c r="E17" s="43">
        <f>VLOOKUP(C17,Active!C$21:E$973,3,FALSE)</f>
        <v>385.98620976908478</v>
      </c>
      <c r="F17" s="4" t="s">
        <v>49</v>
      </c>
      <c r="G17" s="9" t="str">
        <f t="shared" si="4"/>
        <v>29491.547</v>
      </c>
      <c r="H17" s="14">
        <f t="shared" si="5"/>
        <v>386</v>
      </c>
      <c r="I17" s="44" t="s">
        <v>64</v>
      </c>
      <c r="J17" s="45" t="s">
        <v>65</v>
      </c>
      <c r="K17" s="44">
        <v>386</v>
      </c>
      <c r="L17" s="44" t="s">
        <v>66</v>
      </c>
      <c r="M17" s="45" t="s">
        <v>55</v>
      </c>
      <c r="N17" s="45"/>
      <c r="O17" s="46" t="s">
        <v>56</v>
      </c>
      <c r="P17" s="46" t="s">
        <v>57</v>
      </c>
    </row>
    <row r="18" spans="1:16" ht="12.75" customHeight="1" thickBot="1" x14ac:dyDescent="0.25">
      <c r="A18" s="14" t="str">
        <f t="shared" si="0"/>
        <v> VSS 1.476 </v>
      </c>
      <c r="B18" s="4" t="str">
        <f t="shared" si="1"/>
        <v>I</v>
      </c>
      <c r="C18" s="14">
        <f t="shared" si="2"/>
        <v>29627.226999999999</v>
      </c>
      <c r="D18" s="9" t="str">
        <f t="shared" si="3"/>
        <v>vis</v>
      </c>
      <c r="E18" s="43">
        <f>VLOOKUP(C18,Active!C$21:E$973,3,FALSE)</f>
        <v>422.02771168604755</v>
      </c>
      <c r="F18" s="4" t="s">
        <v>49</v>
      </c>
      <c r="G18" s="9" t="str">
        <f t="shared" si="4"/>
        <v>29627.227</v>
      </c>
      <c r="H18" s="14">
        <f t="shared" si="5"/>
        <v>422</v>
      </c>
      <c r="I18" s="44" t="s">
        <v>67</v>
      </c>
      <c r="J18" s="45" t="s">
        <v>68</v>
      </c>
      <c r="K18" s="44">
        <v>422</v>
      </c>
      <c r="L18" s="44" t="s">
        <v>69</v>
      </c>
      <c r="M18" s="45" t="s">
        <v>55</v>
      </c>
      <c r="N18" s="45"/>
      <c r="O18" s="46" t="s">
        <v>56</v>
      </c>
      <c r="P18" s="46" t="s">
        <v>57</v>
      </c>
    </row>
    <row r="19" spans="1:16" ht="12.75" customHeight="1" thickBot="1" x14ac:dyDescent="0.25">
      <c r="A19" s="14" t="str">
        <f t="shared" si="0"/>
        <v> VSS 1.476 </v>
      </c>
      <c r="B19" s="4" t="str">
        <f t="shared" si="1"/>
        <v>I</v>
      </c>
      <c r="C19" s="14">
        <f t="shared" si="2"/>
        <v>30613.466</v>
      </c>
      <c r="D19" s="9" t="str">
        <f t="shared" si="3"/>
        <v>vis</v>
      </c>
      <c r="E19" s="43">
        <f>VLOOKUP(C19,Active!C$21:E$973,3,FALSE)</f>
        <v>684.00836328601383</v>
      </c>
      <c r="F19" s="4" t="s">
        <v>49</v>
      </c>
      <c r="G19" s="9" t="str">
        <f t="shared" si="4"/>
        <v>30613.466</v>
      </c>
      <c r="H19" s="14">
        <f t="shared" si="5"/>
        <v>684</v>
      </c>
      <c r="I19" s="44" t="s">
        <v>70</v>
      </c>
      <c r="J19" s="45" t="s">
        <v>71</v>
      </c>
      <c r="K19" s="44">
        <v>684</v>
      </c>
      <c r="L19" s="44" t="s">
        <v>72</v>
      </c>
      <c r="M19" s="45" t="s">
        <v>55</v>
      </c>
      <c r="N19" s="45"/>
      <c r="O19" s="46" t="s">
        <v>56</v>
      </c>
      <c r="P19" s="46" t="s">
        <v>57</v>
      </c>
    </row>
    <row r="20" spans="1:16" ht="12.75" customHeight="1" thickBot="1" x14ac:dyDescent="0.25">
      <c r="A20" s="14" t="str">
        <f t="shared" si="0"/>
        <v> PZ 8.473 </v>
      </c>
      <c r="B20" s="4" t="str">
        <f t="shared" si="1"/>
        <v>I</v>
      </c>
      <c r="C20" s="14">
        <f t="shared" si="2"/>
        <v>30617.272000000001</v>
      </c>
      <c r="D20" s="9" t="str">
        <f t="shared" si="3"/>
        <v>vis</v>
      </c>
      <c r="E20" s="43">
        <f>VLOOKUP(C20,Active!C$21:E$973,3,FALSE)</f>
        <v>685.01937416673297</v>
      </c>
      <c r="F20" s="4" t="s">
        <v>49</v>
      </c>
      <c r="G20" s="9" t="str">
        <f t="shared" si="4"/>
        <v>30617.272</v>
      </c>
      <c r="H20" s="14">
        <f t="shared" si="5"/>
        <v>685</v>
      </c>
      <c r="I20" s="44" t="s">
        <v>73</v>
      </c>
      <c r="J20" s="45" t="s">
        <v>74</v>
      </c>
      <c r="K20" s="44">
        <v>685</v>
      </c>
      <c r="L20" s="44" t="s">
        <v>75</v>
      </c>
      <c r="M20" s="45" t="s">
        <v>55</v>
      </c>
      <c r="N20" s="45"/>
      <c r="O20" s="46" t="s">
        <v>76</v>
      </c>
      <c r="P20" s="46" t="s">
        <v>77</v>
      </c>
    </row>
    <row r="21" spans="1:16" ht="12.75" customHeight="1" thickBot="1" x14ac:dyDescent="0.25">
      <c r="A21" s="14" t="str">
        <f t="shared" si="0"/>
        <v> VSS 1.476 </v>
      </c>
      <c r="B21" s="4" t="str">
        <f t="shared" si="1"/>
        <v>I</v>
      </c>
      <c r="C21" s="14">
        <f t="shared" si="2"/>
        <v>30820.526999999998</v>
      </c>
      <c r="D21" s="9" t="str">
        <f t="shared" si="3"/>
        <v>vis</v>
      </c>
      <c r="E21" s="43">
        <f>VLOOKUP(C21,Active!C$21:E$973,3,FALSE)</f>
        <v>739.01123348374483</v>
      </c>
      <c r="F21" s="4" t="s">
        <v>49</v>
      </c>
      <c r="G21" s="9" t="str">
        <f t="shared" si="4"/>
        <v>30820.527</v>
      </c>
      <c r="H21" s="14">
        <f t="shared" si="5"/>
        <v>739</v>
      </c>
      <c r="I21" s="44" t="s">
        <v>78</v>
      </c>
      <c r="J21" s="45" t="s">
        <v>79</v>
      </c>
      <c r="K21" s="44">
        <v>739</v>
      </c>
      <c r="L21" s="44" t="s">
        <v>80</v>
      </c>
      <c r="M21" s="45" t="s">
        <v>55</v>
      </c>
      <c r="N21" s="45"/>
      <c r="O21" s="46" t="s">
        <v>56</v>
      </c>
      <c r="P21" s="46" t="s">
        <v>57</v>
      </c>
    </row>
    <row r="22" spans="1:16" ht="12.75" customHeight="1" thickBot="1" x14ac:dyDescent="0.25">
      <c r="A22" s="14" t="str">
        <f t="shared" si="0"/>
        <v> PZ 8.473 </v>
      </c>
      <c r="B22" s="4" t="str">
        <f t="shared" si="1"/>
        <v>I</v>
      </c>
      <c r="C22" s="14">
        <f t="shared" si="2"/>
        <v>32774.360999999997</v>
      </c>
      <c r="D22" s="9" t="str">
        <f t="shared" si="3"/>
        <v>vis</v>
      </c>
      <c r="E22" s="43">
        <f>VLOOKUP(C22,Active!C$21:E$973,3,FALSE)</f>
        <v>1258.0200178029286</v>
      </c>
      <c r="F22" s="4" t="s">
        <v>49</v>
      </c>
      <c r="G22" s="9" t="str">
        <f t="shared" si="4"/>
        <v>32774.361</v>
      </c>
      <c r="H22" s="14">
        <f t="shared" si="5"/>
        <v>1258</v>
      </c>
      <c r="I22" s="44" t="s">
        <v>81</v>
      </c>
      <c r="J22" s="45" t="s">
        <v>82</v>
      </c>
      <c r="K22" s="44">
        <v>1258</v>
      </c>
      <c r="L22" s="44" t="s">
        <v>83</v>
      </c>
      <c r="M22" s="45" t="s">
        <v>55</v>
      </c>
      <c r="N22" s="45"/>
      <c r="O22" s="46" t="s">
        <v>76</v>
      </c>
      <c r="P22" s="46" t="s">
        <v>77</v>
      </c>
    </row>
    <row r="23" spans="1:16" ht="12.75" customHeight="1" thickBot="1" x14ac:dyDescent="0.25">
      <c r="A23" s="14" t="str">
        <f t="shared" si="0"/>
        <v> PZ 8.473 </v>
      </c>
      <c r="B23" s="4" t="str">
        <f t="shared" si="1"/>
        <v>I</v>
      </c>
      <c r="C23" s="14">
        <f t="shared" si="2"/>
        <v>33154.445</v>
      </c>
      <c r="D23" s="9" t="str">
        <f t="shared" si="3"/>
        <v>vis</v>
      </c>
      <c r="E23" s="43">
        <f>VLOOKUP(C23,Active!C$21:E$973,3,FALSE)</f>
        <v>1358.9840376629443</v>
      </c>
      <c r="F23" s="4" t="s">
        <v>49</v>
      </c>
      <c r="G23" s="9" t="str">
        <f t="shared" si="4"/>
        <v>33154.445</v>
      </c>
      <c r="H23" s="14">
        <f t="shared" si="5"/>
        <v>1359</v>
      </c>
      <c r="I23" s="44" t="s">
        <v>84</v>
      </c>
      <c r="J23" s="45" t="s">
        <v>85</v>
      </c>
      <c r="K23" s="44">
        <v>1359</v>
      </c>
      <c r="L23" s="44" t="s">
        <v>86</v>
      </c>
      <c r="M23" s="45" t="s">
        <v>55</v>
      </c>
      <c r="N23" s="45"/>
      <c r="O23" s="46" t="s">
        <v>76</v>
      </c>
      <c r="P23" s="46" t="s">
        <v>77</v>
      </c>
    </row>
    <row r="24" spans="1:16" ht="12.75" customHeight="1" thickBot="1" x14ac:dyDescent="0.25">
      <c r="A24" s="14" t="str">
        <f t="shared" si="0"/>
        <v> PZ 8.473 </v>
      </c>
      <c r="B24" s="4" t="str">
        <f t="shared" si="1"/>
        <v>I</v>
      </c>
      <c r="C24" s="14">
        <f t="shared" si="2"/>
        <v>33361.546999999999</v>
      </c>
      <c r="D24" s="9" t="str">
        <f t="shared" si="3"/>
        <v>vis</v>
      </c>
      <c r="E24" s="43">
        <f>VLOOKUP(C24,Active!C$21:E$973,3,FALSE)</f>
        <v>1413.9977989395272</v>
      </c>
      <c r="F24" s="4" t="s">
        <v>49</v>
      </c>
      <c r="G24" s="9" t="str">
        <f t="shared" si="4"/>
        <v>33361.547</v>
      </c>
      <c r="H24" s="14">
        <f t="shared" si="5"/>
        <v>1414</v>
      </c>
      <c r="I24" s="44" t="s">
        <v>87</v>
      </c>
      <c r="J24" s="45" t="s">
        <v>88</v>
      </c>
      <c r="K24" s="44">
        <v>1414</v>
      </c>
      <c r="L24" s="44" t="s">
        <v>89</v>
      </c>
      <c r="M24" s="45" t="s">
        <v>55</v>
      </c>
      <c r="N24" s="45"/>
      <c r="O24" s="46" t="s">
        <v>76</v>
      </c>
      <c r="P24" s="46" t="s">
        <v>77</v>
      </c>
    </row>
    <row r="25" spans="1:16" ht="12.75" customHeight="1" thickBot="1" x14ac:dyDescent="0.25">
      <c r="A25" s="14" t="str">
        <f t="shared" si="0"/>
        <v> MVS 712 </v>
      </c>
      <c r="B25" s="4" t="str">
        <f t="shared" si="1"/>
        <v>I</v>
      </c>
      <c r="C25" s="14">
        <f t="shared" si="2"/>
        <v>37615.495000000003</v>
      </c>
      <c r="D25" s="9" t="str">
        <f t="shared" si="3"/>
        <v>vis</v>
      </c>
      <c r="E25" s="43">
        <f>VLOOKUP(C25,Active!C$21:E$973,3,FALSE)</f>
        <v>2543.9998257427387</v>
      </c>
      <c r="F25" s="4" t="s">
        <v>49</v>
      </c>
      <c r="G25" s="9" t="str">
        <f t="shared" si="4"/>
        <v>37615.495</v>
      </c>
      <c r="H25" s="14">
        <f t="shared" si="5"/>
        <v>2544</v>
      </c>
      <c r="I25" s="44" t="s">
        <v>90</v>
      </c>
      <c r="J25" s="45" t="s">
        <v>91</v>
      </c>
      <c r="K25" s="44">
        <v>2544</v>
      </c>
      <c r="L25" s="44" t="s">
        <v>92</v>
      </c>
      <c r="M25" s="45" t="s">
        <v>51</v>
      </c>
      <c r="N25" s="45"/>
      <c r="O25" s="46" t="s">
        <v>93</v>
      </c>
      <c r="P25" s="46" t="s">
        <v>94</v>
      </c>
    </row>
    <row r="26" spans="1:16" ht="12.75" customHeight="1" thickBot="1" x14ac:dyDescent="0.25">
      <c r="A26" s="14" t="str">
        <f t="shared" si="0"/>
        <v> BRNO 28 </v>
      </c>
      <c r="B26" s="4" t="str">
        <f t="shared" si="1"/>
        <v>I</v>
      </c>
      <c r="C26" s="14">
        <f t="shared" si="2"/>
        <v>46744.43</v>
      </c>
      <c r="D26" s="9" t="str">
        <f t="shared" si="3"/>
        <v>vis</v>
      </c>
      <c r="E26" s="43">
        <f>VLOOKUP(C26,Active!C$21:E$973,3,FALSE)</f>
        <v>4968.9742383483381</v>
      </c>
      <c r="F26" s="4" t="s">
        <v>49</v>
      </c>
      <c r="G26" s="9" t="str">
        <f t="shared" si="4"/>
        <v>46744.430</v>
      </c>
      <c r="H26" s="14">
        <f t="shared" si="5"/>
        <v>4969</v>
      </c>
      <c r="I26" s="44" t="s">
        <v>95</v>
      </c>
      <c r="J26" s="45" t="s">
        <v>96</v>
      </c>
      <c r="K26" s="44">
        <v>4969</v>
      </c>
      <c r="L26" s="44" t="s">
        <v>97</v>
      </c>
      <c r="M26" s="45" t="s">
        <v>98</v>
      </c>
      <c r="N26" s="45"/>
      <c r="O26" s="46" t="s">
        <v>99</v>
      </c>
      <c r="P26" s="46" t="s">
        <v>100</v>
      </c>
    </row>
    <row r="27" spans="1:16" ht="12.75" customHeight="1" thickBot="1" x14ac:dyDescent="0.25">
      <c r="A27" s="14" t="str">
        <f t="shared" si="0"/>
        <v> BRNO 32 </v>
      </c>
      <c r="B27" s="4" t="str">
        <f t="shared" si="1"/>
        <v>I</v>
      </c>
      <c r="C27" s="14">
        <f t="shared" si="2"/>
        <v>50693.438300000002</v>
      </c>
      <c r="D27" s="9" t="str">
        <f t="shared" si="3"/>
        <v>vis</v>
      </c>
      <c r="E27" s="43">
        <f>VLOOKUP(C27,Active!C$21:E$973,3,FALSE)</f>
        <v>6017.9732817928525</v>
      </c>
      <c r="F27" s="4" t="s">
        <v>49</v>
      </c>
      <c r="G27" s="9" t="str">
        <f t="shared" si="4"/>
        <v>50693.4383</v>
      </c>
      <c r="H27" s="14">
        <f t="shared" si="5"/>
        <v>6018</v>
      </c>
      <c r="I27" s="44" t="s">
        <v>101</v>
      </c>
      <c r="J27" s="45" t="s">
        <v>102</v>
      </c>
      <c r="K27" s="44">
        <v>6018</v>
      </c>
      <c r="L27" s="44" t="s">
        <v>103</v>
      </c>
      <c r="M27" s="45" t="s">
        <v>98</v>
      </c>
      <c r="N27" s="45"/>
      <c r="O27" s="46" t="s">
        <v>104</v>
      </c>
      <c r="P27" s="46" t="s">
        <v>105</v>
      </c>
    </row>
    <row r="28" spans="1:16" ht="12.75" customHeight="1" thickBot="1" x14ac:dyDescent="0.25">
      <c r="A28" s="14" t="str">
        <f t="shared" si="0"/>
        <v> BRNO 32 </v>
      </c>
      <c r="B28" s="4" t="str">
        <f t="shared" si="1"/>
        <v>I</v>
      </c>
      <c r="C28" s="14">
        <f t="shared" si="2"/>
        <v>50693.461900000002</v>
      </c>
      <c r="D28" s="9" t="str">
        <f t="shared" si="3"/>
        <v>vis</v>
      </c>
      <c r="E28" s="43">
        <f>VLOOKUP(C28,Active!C$21:E$973,3,FALSE)</f>
        <v>6017.9795508040943</v>
      </c>
      <c r="F28" s="4" t="s">
        <v>49</v>
      </c>
      <c r="G28" s="9" t="str">
        <f t="shared" si="4"/>
        <v>50693.4619</v>
      </c>
      <c r="H28" s="14">
        <f t="shared" si="5"/>
        <v>6018</v>
      </c>
      <c r="I28" s="44" t="s">
        <v>106</v>
      </c>
      <c r="J28" s="45" t="s">
        <v>107</v>
      </c>
      <c r="K28" s="44">
        <v>6018</v>
      </c>
      <c r="L28" s="44" t="s">
        <v>108</v>
      </c>
      <c r="M28" s="45" t="s">
        <v>98</v>
      </c>
      <c r="N28" s="45"/>
      <c r="O28" s="46" t="s">
        <v>109</v>
      </c>
      <c r="P28" s="46" t="s">
        <v>105</v>
      </c>
    </row>
    <row r="29" spans="1:16" x14ac:dyDescent="0.2">
      <c r="B29" s="4"/>
      <c r="F29" s="4"/>
    </row>
    <row r="30" spans="1:16" x14ac:dyDescent="0.2">
      <c r="B30" s="4"/>
      <c r="F30" s="4"/>
    </row>
    <row r="31" spans="1:16" x14ac:dyDescent="0.2">
      <c r="B31" s="4"/>
      <c r="F31" s="4"/>
    </row>
    <row r="32" spans="1:16" x14ac:dyDescent="0.2">
      <c r="B32" s="4"/>
      <c r="F32" s="4"/>
    </row>
    <row r="33" spans="2:6" x14ac:dyDescent="0.2">
      <c r="B33" s="4"/>
      <c r="F33" s="4"/>
    </row>
    <row r="34" spans="2:6" x14ac:dyDescent="0.2">
      <c r="B34" s="4"/>
      <c r="F34" s="4"/>
    </row>
    <row r="35" spans="2:6" x14ac:dyDescent="0.2">
      <c r="B35" s="4"/>
      <c r="F35" s="4"/>
    </row>
    <row r="36" spans="2:6" x14ac:dyDescent="0.2">
      <c r="B36" s="4"/>
      <c r="F36" s="4"/>
    </row>
    <row r="37" spans="2:6" x14ac:dyDescent="0.2">
      <c r="B37" s="4"/>
      <c r="F37" s="4"/>
    </row>
    <row r="38" spans="2:6" x14ac:dyDescent="0.2">
      <c r="B38" s="4"/>
      <c r="F38" s="4"/>
    </row>
    <row r="39" spans="2:6" x14ac:dyDescent="0.2">
      <c r="B39" s="4"/>
      <c r="F39" s="4"/>
    </row>
    <row r="40" spans="2:6" x14ac:dyDescent="0.2">
      <c r="B40" s="4"/>
      <c r="F40" s="4"/>
    </row>
    <row r="41" spans="2:6" x14ac:dyDescent="0.2">
      <c r="B41" s="4"/>
      <c r="F41" s="4"/>
    </row>
    <row r="42" spans="2:6" x14ac:dyDescent="0.2">
      <c r="B42" s="4"/>
      <c r="F42" s="4"/>
    </row>
    <row r="43" spans="2:6" x14ac:dyDescent="0.2">
      <c r="B43" s="4"/>
      <c r="F43" s="4"/>
    </row>
    <row r="44" spans="2:6" x14ac:dyDescent="0.2">
      <c r="B44" s="4"/>
      <c r="F44" s="4"/>
    </row>
    <row r="45" spans="2:6" x14ac:dyDescent="0.2">
      <c r="B45" s="4"/>
      <c r="F45" s="4"/>
    </row>
    <row r="46" spans="2:6" x14ac:dyDescent="0.2">
      <c r="B46" s="4"/>
      <c r="F46" s="4"/>
    </row>
    <row r="47" spans="2:6" x14ac:dyDescent="0.2">
      <c r="B47" s="4"/>
      <c r="F47" s="4"/>
    </row>
    <row r="48" spans="2:6" x14ac:dyDescent="0.2">
      <c r="B48" s="4"/>
      <c r="F48" s="4"/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</sheetData>
  <phoneticPr fontId="6" type="noConversion"/>
  <hyperlinks>
    <hyperlink ref="P11" r:id="rId1" display="http://www.bav-astro.de/sfs/BAVM_link.php?BAVMnr=152"/>
    <hyperlink ref="P12" r:id="rId2" display="http://var.astro.cz/oejv/issues/oejv0074.pdf"/>
    <hyperlink ref="P13" r:id="rId3" display="http://www.bav-astro.de/sfs/BAVM_link.php?BAVMnr=17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2024-01-31T04:29:11Z</dcterms:modified>
</cp:coreProperties>
</file>