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6B262B-2D27-4E92-9871-DC1B3CE57E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4" i="1"/>
  <c r="F34" i="1"/>
  <c r="G34" i="1"/>
  <c r="I34" i="1"/>
  <c r="E35" i="1"/>
  <c r="F35" i="1"/>
  <c r="G35" i="1"/>
  <c r="I35" i="1"/>
  <c r="E21" i="1"/>
  <c r="F21" i="1"/>
  <c r="G21" i="1"/>
  <c r="J21" i="1"/>
  <c r="E33" i="1"/>
  <c r="F33" i="1"/>
  <c r="G33" i="1"/>
  <c r="J33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17" i="1"/>
  <c r="Q21" i="1"/>
  <c r="Q33" i="1"/>
  <c r="C11" i="1"/>
  <c r="C12" i="1"/>
  <c r="C16" i="1" l="1"/>
  <c r="D18" i="1" s="1"/>
  <c r="O25" i="1"/>
  <c r="O35" i="1"/>
  <c r="O24" i="1"/>
  <c r="O30" i="1"/>
  <c r="O32" i="1"/>
  <c r="O33" i="1"/>
  <c r="O23" i="1"/>
  <c r="O27" i="1"/>
  <c r="C15" i="1"/>
  <c r="O34" i="1"/>
  <c r="O26" i="1"/>
  <c r="O28" i="1"/>
  <c r="O29" i="1"/>
  <c r="O31" i="1"/>
  <c r="O21" i="1"/>
  <c r="O22" i="1"/>
  <c r="F18" i="1" l="1"/>
  <c r="F19" i="1" s="1"/>
  <c r="C18" i="1"/>
</calcChain>
</file>

<file path=xl/sharedStrings.xml><?xml version="1.0" encoding="utf-8"?>
<sst xmlns="http://schemas.openxmlformats.org/spreadsheetml/2006/main" count="199" uniqueCount="103">
  <si>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</si>
  <si>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</si>
  <si>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</si>
  <si>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</si>
  <si>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</si>
  <si>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</si>
  <si>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</si>
  <si>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</si>
  <si>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</si>
  <si>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</si>
  <si>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</si>
  <si>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</si>
  <si>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</si>
  <si>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</si>
  <si>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</si>
  <si>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</si>
  <si>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</si>
  <si>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</si>
  <si>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</si>
  <si>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</si>
  <si>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</si>
  <si>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</si>
  <si>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</si>
  <si>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</si>
  <si>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</si>
  <si>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</si>
  <si>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from VSX</t>
  </si>
  <si>
    <t>IBVS 5657</t>
  </si>
  <si>
    <t>not avail.</t>
  </si>
  <si>
    <t>EA</t>
  </si>
  <si>
    <t>IBVS 3667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</si>
  <si>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</si>
  <si>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</si>
  <si>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</si>
  <si>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</si>
  <si>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</si>
  <si>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</si>
  <si>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</si>
  <si>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</si>
  <si>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</si>
  <si>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</si>
  <si>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</si>
  <si>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</si>
  <si>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</si>
  <si>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2432708.664 </t>
  </si>
  <si>
    <t> 06.06.1948 03:56 </t>
  </si>
  <si>
    <t> 0.000 </t>
  </si>
  <si>
    <t> B.S.Whitney </t>
  </si>
  <si>
    <t> AJ 56.207 </t>
  </si>
  <si>
    <t>2433113.611 </t>
  </si>
  <si>
    <t> 16.07.1949 02:39 </t>
  </si>
  <si>
    <t>2433504.593 </t>
  </si>
  <si>
    <t> 11.08.1950 02:13 </t>
  </si>
  <si>
    <t> -0.001 </t>
  </si>
  <si>
    <t>2433861.437 </t>
  </si>
  <si>
    <t> 02.08.1951 22:29 </t>
  </si>
  <si>
    <t> -0.006 </t>
  </si>
  <si>
    <t>P </t>
  </si>
  <si>
    <t> G.Romano </t>
  </si>
  <si>
    <t> MSAI 40.396 </t>
  </si>
  <si>
    <t>2434252.388 </t>
  </si>
  <si>
    <t> 27.08.1952 21:18 </t>
  </si>
  <si>
    <t> -0.038 </t>
  </si>
  <si>
    <t>2434269.482 </t>
  </si>
  <si>
    <t> 13.09.1952 23:34 </t>
  </si>
  <si>
    <t> -0.011 </t>
  </si>
  <si>
    <t>2434629.440 </t>
  </si>
  <si>
    <t> 08.09.1953 22:33 </t>
  </si>
  <si>
    <t>2437490.454 </t>
  </si>
  <si>
    <t> 09.07.1961 22:53 </t>
  </si>
  <si>
    <t> 0.005 </t>
  </si>
  <si>
    <t>2437521.467 </t>
  </si>
  <si>
    <t> 09.08.1961 23:12 </t>
  </si>
  <si>
    <t> -0.012 </t>
  </si>
  <si>
    <t>2437549.416 </t>
  </si>
  <si>
    <t> 06.09.1961 21:59 </t>
  </si>
  <si>
    <t> 0.010 </t>
  </si>
  <si>
    <t>2439732.342 </t>
  </si>
  <si>
    <t> 29.08.1967 20:12 </t>
  </si>
  <si>
    <t> -0.053 </t>
  </si>
  <si>
    <t>2439791.325 </t>
  </si>
  <si>
    <t> 27.10.1967 19:48 </t>
  </si>
  <si>
    <t> -0.028 </t>
  </si>
  <si>
    <t>2455050.4695 </t>
  </si>
  <si>
    <t> 06.08.2009 23:16 </t>
  </si>
  <si>
    <t> -0.0825 </t>
  </si>
  <si>
    <t>C </t>
  </si>
  <si>
    <t>o</t>
  </si>
  <si>
    <t> U.Schmidt </t>
  </si>
  <si>
    <t>BAVM 212 </t>
  </si>
  <si>
    <t>2455067.5843 </t>
  </si>
  <si>
    <t> 24.08.2009 02:01 </t>
  </si>
  <si>
    <t> -0.0344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</si>
  <si>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</si>
  <si>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</si>
  <si>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</si>
  <si>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</si>
  <si>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</si>
  <si>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</si>
  <si>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</si>
  <si>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</si>
  <si>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</si>
  <si>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V0699 Cyg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</si>
</sst>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2" fillId="2" borderId="11" xfId="7" applyFill="1" applyBorder="1" applyAlignment="1" applyProtection="1">
      <alignment horizontal="right" vertical="top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7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V0699 Cyg - O-C Diagr.</a:t>
            </a:r>
          </a:p>
        </c:rich>
      </c:tx>
      <c:layout>
        <c:manualLayout>
          <c:xMode val="edge"/>
          <c:yMode val="edge"/>
          <c:x val="0.3634898384067096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B-4FCD-ADE1-E76E8AE625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8.7999999959720299E-4</c:v>
                </c:pt>
                <c:pt idx="2">
                  <c:v>-1.6000000323401764E-4</c:v>
                </c:pt>
                <c:pt idx="3">
                  <c:v>-5.7600000000093132E-3</c:v>
                </c:pt>
                <c:pt idx="4">
                  <c:v>-3.7799999998242129E-2</c:v>
                </c:pt>
                <c:pt idx="5">
                  <c:v>-1.0519999996176921E-2</c:v>
                </c:pt>
                <c:pt idx="6">
                  <c:v>-5.1600000006146729E-3</c:v>
                </c:pt>
                <c:pt idx="7">
                  <c:v>5.9599999949568883E-3</c:v>
                </c:pt>
                <c:pt idx="8">
                  <c:v>-1.1440000002039596E-2</c:v>
                </c:pt>
                <c:pt idx="9">
                  <c:v>1.0199999996984843E-2</c:v>
                </c:pt>
                <c:pt idx="10">
                  <c:v>-5.2440000006754417E-2</c:v>
                </c:pt>
                <c:pt idx="11">
                  <c:v>-2.7200000004086178E-2</c:v>
                </c:pt>
                <c:pt idx="13">
                  <c:v>-8.1899999997403938E-2</c:v>
                </c:pt>
                <c:pt idx="14">
                  <c:v>-3.3819999996921979E-2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B-4FCD-ADE1-E76E8AE625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5.9999999939464033E-4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B-4FCD-ADE1-E76E8AE625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B-4FCD-ADE1-E76E8AE625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8B-4FCD-ADE1-E76E8AE625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8B-4FCD-ADE1-E76E8AE625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2.7000000000000001E-3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8B-4FCD-ADE1-E76E8AE625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-13245</c:v>
                </c:pt>
                <c:pt idx="1">
                  <c:v>-12984</c:v>
                </c:pt>
                <c:pt idx="2">
                  <c:v>-12732</c:v>
                </c:pt>
                <c:pt idx="3">
                  <c:v>-12502</c:v>
                </c:pt>
                <c:pt idx="4">
                  <c:v>-12250</c:v>
                </c:pt>
                <c:pt idx="5">
                  <c:v>-12239</c:v>
                </c:pt>
                <c:pt idx="6">
                  <c:v>-12007</c:v>
                </c:pt>
                <c:pt idx="7">
                  <c:v>-10163</c:v>
                </c:pt>
                <c:pt idx="8">
                  <c:v>-10143</c:v>
                </c:pt>
                <c:pt idx="9">
                  <c:v>-10125</c:v>
                </c:pt>
                <c:pt idx="10">
                  <c:v>-8718</c:v>
                </c:pt>
                <c:pt idx="11">
                  <c:v>-8680</c:v>
                </c:pt>
                <c:pt idx="12">
                  <c:v>0</c:v>
                </c:pt>
                <c:pt idx="13">
                  <c:v>1155</c:v>
                </c:pt>
                <c:pt idx="14">
                  <c:v>1166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-5.2724004084679574E-3</c:v>
                </c:pt>
                <c:pt idx="1">
                  <c:v>-5.9507330119007509E-3</c:v>
                </c:pt>
                <c:pt idx="2">
                  <c:v>-6.6056748359048234E-3</c:v>
                </c:pt>
                <c:pt idx="3">
                  <c:v>-7.2034391990831448E-3</c:v>
                </c:pt>
                <c:pt idx="4">
                  <c:v>-7.8583810230872173E-3</c:v>
                </c:pt>
                <c:pt idx="5">
                  <c:v>-7.8869697535000893E-3</c:v>
                </c:pt>
                <c:pt idx="6">
                  <c:v>-8.4899320676625721E-3</c:v>
                </c:pt>
                <c:pt idx="7">
                  <c:v>-1.3282442875057456E-2</c:v>
                </c:pt>
                <c:pt idx="8">
                  <c:v>-1.3334422384899049E-2</c:v>
                </c:pt>
                <c:pt idx="9">
                  <c:v>-1.3381203943756484E-2</c:v>
                </c:pt>
                <c:pt idx="10">
                  <c:v>-1.7037962461112558E-2</c:v>
                </c:pt>
                <c:pt idx="11">
                  <c:v>-1.7136723529811587E-2</c:v>
                </c:pt>
                <c:pt idx="12">
                  <c:v>-3.9695830801062995E-2</c:v>
                </c:pt>
                <c:pt idx="13">
                  <c:v>-4.2697647494415E-2</c:v>
                </c:pt>
                <c:pt idx="14">
                  <c:v>-4.2726236224827872E-2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8B-4FCD-ADE1-E76E8AE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536448"/>
        <c:axId val="1"/>
      </c:scatterChart>
      <c:valAx>
        <c:axId val="72453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53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9386912257939"/>
          <c:y val="0.91925596256989606"/>
          <c:w val="0.6752832228766234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57150</xdr:rowOff>
    </xdr:from>
    <xdr:to>
      <xdr:col>17</xdr:col>
      <xdr:colOff>76200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89A833-37CA-0815-6F7B-29B075379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43" t="s">
        <v>102</v>
      </c>
    </row>
    <row r="2" spans="1:6">
      <c r="A2" t="s">
        <v>22</v>
      </c>
      <c r="B2" t="s">
        <v>29</v>
      </c>
    </row>
    <row r="4" spans="1:6">
      <c r="A4" s="7" t="s">
        <v>0</v>
      </c>
      <c r="C4" s="13" t="s">
        <v>28</v>
      </c>
      <c r="D4" s="14" t="s">
        <v>28</v>
      </c>
    </row>
    <row r="5" spans="1:6">
      <c r="A5" s="33" t="s">
        <v>94</v>
      </c>
      <c r="B5" s="20"/>
      <c r="C5" s="34">
        <v>-9.5</v>
      </c>
      <c r="D5" s="20" t="s">
        <v>95</v>
      </c>
    </row>
    <row r="6" spans="1:6">
      <c r="A6" s="7" t="s">
        <v>1</v>
      </c>
    </row>
    <row r="7" spans="1:6">
      <c r="A7" t="s">
        <v>2</v>
      </c>
      <c r="C7" s="44">
        <v>53258.5458</v>
      </c>
    </row>
    <row r="8" spans="1:6">
      <c r="A8" t="s">
        <v>3</v>
      </c>
      <c r="C8" s="45">
        <v>1.55152</v>
      </c>
      <c r="D8" t="s">
        <v>26</v>
      </c>
    </row>
    <row r="9" spans="1:6">
      <c r="A9" s="35" t="s">
        <v>96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ht="13.5" thickBot="1">
      <c r="C10" s="6" t="s">
        <v>17</v>
      </c>
      <c r="D10" s="6" t="s">
        <v>18</v>
      </c>
    </row>
    <row r="11" spans="1:6">
      <c r="A11" t="s">
        <v>14</v>
      </c>
      <c r="C11" s="39">
        <f ca="1">INTERCEPT(INDIRECT($D$9):G978,INDIRECT($C$9):F978)</f>
        <v>-3.9695830801062995E-2</v>
      </c>
      <c r="D11" s="5"/>
    </row>
    <row r="12" spans="1:6">
      <c r="A12" t="s">
        <v>15</v>
      </c>
      <c r="C12" s="39">
        <f ca="1">SLOPE(INDIRECT($D$9):G978,INDIRECT($C$9):F978)</f>
        <v>-2.5989754920796555E-6</v>
      </c>
      <c r="D12" s="5"/>
    </row>
    <row r="13" spans="1:6">
      <c r="C13" s="5"/>
      <c r="D13" s="5"/>
    </row>
    <row r="14" spans="1:6">
      <c r="A14" t="s">
        <v>21</v>
      </c>
    </row>
    <row r="15" spans="1:6">
      <c r="A15" s="2" t="s">
        <v>16</v>
      </c>
      <c r="C15" s="15">
        <f ca="1">(C7+C11)+(C8+C12)*INT(MAX(F21:F3533))</f>
        <v>55067.575393763778</v>
      </c>
      <c r="E15" s="40" t="s">
        <v>97</v>
      </c>
      <c r="F15" s="34">
        <v>1</v>
      </c>
    </row>
    <row r="16" spans="1:6">
      <c r="A16" s="7" t="s">
        <v>4</v>
      </c>
      <c r="C16" s="16">
        <f ca="1">+C8+C12</f>
        <v>1.5515174010245079</v>
      </c>
      <c r="E16" s="40" t="s">
        <v>98</v>
      </c>
      <c r="F16" s="41">
        <f ca="1">NOW()+15018.5+$C$5/24</f>
        <v>60340.738041435179</v>
      </c>
    </row>
    <row r="17" spans="1:18" ht="13.5" thickBot="1">
      <c r="A17" s="18" t="s">
        <v>31</v>
      </c>
      <c r="C17">
        <f>COUNT(C21:C2191)</f>
        <v>15</v>
      </c>
      <c r="E17" s="40" t="s">
        <v>99</v>
      </c>
      <c r="F17" s="41">
        <f ca="1">ROUND(2*(F16-$C$7)/$C$8,0)/2+F15</f>
        <v>4565.5</v>
      </c>
    </row>
    <row r="18" spans="1:18">
      <c r="A18" s="7" t="s">
        <v>5</v>
      </c>
      <c r="C18" s="3">
        <f ca="1">+C15</f>
        <v>55067.575393763778</v>
      </c>
      <c r="D18" s="4">
        <f ca="1">+C16</f>
        <v>1.5515174010245079</v>
      </c>
      <c r="E18" s="40" t="s">
        <v>100</v>
      </c>
      <c r="F18" s="38">
        <f ca="1">ROUND(2*(F16-$C$15)/$C$16,0)/2+F15</f>
        <v>3399.5</v>
      </c>
    </row>
    <row r="19" spans="1:18" ht="13.5" thickTop="1">
      <c r="E19" s="40" t="s">
        <v>101</v>
      </c>
      <c r="F19" s="42">
        <f ca="1">+$C$15+$C$16*F18-15018.5-$C$5/24</f>
        <v>45323.854631879927</v>
      </c>
    </row>
    <row r="20" spans="1:18" ht="13.5" thickBot="1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39</v>
      </c>
      <c r="I20" s="9" t="s">
        <v>42</v>
      </c>
      <c r="J20" s="9" t="s">
        <v>36</v>
      </c>
      <c r="K20" s="9" t="s">
        <v>34</v>
      </c>
      <c r="L20" s="9" t="s">
        <v>23</v>
      </c>
      <c r="M20" s="9" t="s">
        <v>24</v>
      </c>
      <c r="N20" s="9" t="s">
        <v>25</v>
      </c>
      <c r="O20" s="9" t="s">
        <v>20</v>
      </c>
      <c r="P20" s="8" t="s">
        <v>19</v>
      </c>
      <c r="Q20" s="6" t="s">
        <v>13</v>
      </c>
    </row>
    <row r="21" spans="1:18">
      <c r="A21" s="10" t="s">
        <v>30</v>
      </c>
      <c r="B21" s="11"/>
      <c r="C21" s="17">
        <v>32708.664000000001</v>
      </c>
      <c r="D21" s="12"/>
      <c r="E21">
        <f t="shared" ref="E21:E35" si="0">+(C21-C$7)/C$8</f>
        <v>-13244.999613282458</v>
      </c>
      <c r="F21">
        <f t="shared" ref="F21:F35" si="1">ROUND(2*E21,0)/2</f>
        <v>-13245</v>
      </c>
      <c r="G21">
        <f t="shared" ref="G21:G35" si="2">+C21-(C$7+F21*C$8)</f>
        <v>5.9999999939464033E-4</v>
      </c>
      <c r="J21">
        <f>+G21</f>
        <v>5.9999999939464033E-4</v>
      </c>
      <c r="O21">
        <f t="shared" ref="O21:O35" ca="1" si="3">+C$11+C$12*$F21</f>
        <v>-5.2724004084679574E-3</v>
      </c>
      <c r="Q21" s="1">
        <f t="shared" ref="Q21:Q35" si="4">+C21-15018.5</f>
        <v>17690.164000000001</v>
      </c>
      <c r="R21" t="s">
        <v>36</v>
      </c>
    </row>
    <row r="22" spans="1:18">
      <c r="A22" t="s">
        <v>48</v>
      </c>
      <c r="B22" t="s">
        <v>93</v>
      </c>
      <c r="C22" s="12">
        <v>33113.610999999997</v>
      </c>
      <c r="D22" s="12" t="s">
        <v>42</v>
      </c>
      <c r="E22">
        <f t="shared" si="0"/>
        <v>-12983.999432814275</v>
      </c>
      <c r="F22">
        <f t="shared" si="1"/>
        <v>-12984</v>
      </c>
      <c r="G22">
        <f t="shared" si="2"/>
        <v>8.7999999959720299E-4</v>
      </c>
      <c r="I22">
        <f t="shared" ref="I22:I32" si="5">+G22</f>
        <v>8.7999999959720299E-4</v>
      </c>
      <c r="O22">
        <f t="shared" ca="1" si="3"/>
        <v>-5.9507330119007509E-3</v>
      </c>
      <c r="Q22" s="1">
        <f t="shared" si="4"/>
        <v>18095.110999999997</v>
      </c>
    </row>
    <row r="23" spans="1:18">
      <c r="A23" t="s">
        <v>48</v>
      </c>
      <c r="B23" t="s">
        <v>93</v>
      </c>
      <c r="C23" s="12">
        <v>33504.593000000001</v>
      </c>
      <c r="D23" s="12" t="s">
        <v>42</v>
      </c>
      <c r="E23">
        <f t="shared" si="0"/>
        <v>-12732.000103124677</v>
      </c>
      <c r="F23">
        <f t="shared" si="1"/>
        <v>-12732</v>
      </c>
      <c r="G23">
        <f t="shared" si="2"/>
        <v>-1.6000000323401764E-4</v>
      </c>
      <c r="I23">
        <f t="shared" si="5"/>
        <v>-1.6000000323401764E-4</v>
      </c>
      <c r="O23">
        <f t="shared" ca="1" si="3"/>
        <v>-6.6056748359048234E-3</v>
      </c>
      <c r="Q23" s="1">
        <f t="shared" si="4"/>
        <v>18486.093000000001</v>
      </c>
    </row>
    <row r="24" spans="1:18">
      <c r="A24" t="s">
        <v>59</v>
      </c>
      <c r="B24" t="s">
        <v>93</v>
      </c>
      <c r="C24" s="12">
        <v>33861.436999999998</v>
      </c>
      <c r="D24" s="12" t="s">
        <v>42</v>
      </c>
      <c r="E24">
        <f t="shared" si="0"/>
        <v>-12502.0037124884</v>
      </c>
      <c r="F24">
        <f t="shared" si="1"/>
        <v>-12502</v>
      </c>
      <c r="G24">
        <f t="shared" si="2"/>
        <v>-5.7600000000093132E-3</v>
      </c>
      <c r="I24">
        <f t="shared" si="5"/>
        <v>-5.7600000000093132E-3</v>
      </c>
      <c r="O24">
        <f t="shared" ca="1" si="3"/>
        <v>-7.2034391990831448E-3</v>
      </c>
      <c r="Q24" s="1">
        <f t="shared" si="4"/>
        <v>18842.936999999998</v>
      </c>
    </row>
    <row r="25" spans="1:18">
      <c r="A25" t="s">
        <v>59</v>
      </c>
      <c r="B25" t="s">
        <v>93</v>
      </c>
      <c r="C25" s="12">
        <v>34252.387999999999</v>
      </c>
      <c r="D25" s="12" t="s">
        <v>42</v>
      </c>
      <c r="E25">
        <f t="shared" si="0"/>
        <v>-12250.024363205115</v>
      </c>
      <c r="F25">
        <f t="shared" si="1"/>
        <v>-12250</v>
      </c>
      <c r="G25">
        <f t="shared" si="2"/>
        <v>-3.7799999998242129E-2</v>
      </c>
      <c r="I25">
        <f t="shared" si="5"/>
        <v>-3.7799999998242129E-2</v>
      </c>
      <c r="O25">
        <f t="shared" ca="1" si="3"/>
        <v>-7.8583810230872173E-3</v>
      </c>
      <c r="Q25" s="1">
        <f t="shared" si="4"/>
        <v>19233.887999999999</v>
      </c>
    </row>
    <row r="26" spans="1:18">
      <c r="A26" t="s">
        <v>59</v>
      </c>
      <c r="B26" t="s">
        <v>93</v>
      </c>
      <c r="C26" s="12">
        <v>34269.482000000004</v>
      </c>
      <c r="D26" s="12" t="s">
        <v>42</v>
      </c>
      <c r="E26">
        <f t="shared" si="0"/>
        <v>-12239.006780447558</v>
      </c>
      <c r="F26">
        <f t="shared" si="1"/>
        <v>-12239</v>
      </c>
      <c r="G26">
        <f t="shared" si="2"/>
        <v>-1.0519999996176921E-2</v>
      </c>
      <c r="I26">
        <f t="shared" si="5"/>
        <v>-1.0519999996176921E-2</v>
      </c>
      <c r="O26">
        <f t="shared" ca="1" si="3"/>
        <v>-7.8869697535000893E-3</v>
      </c>
      <c r="Q26" s="1">
        <f t="shared" si="4"/>
        <v>19250.982000000004</v>
      </c>
    </row>
    <row r="27" spans="1:18">
      <c r="A27" t="s">
        <v>59</v>
      </c>
      <c r="B27" t="s">
        <v>93</v>
      </c>
      <c r="C27" s="12">
        <v>34629.440000000002</v>
      </c>
      <c r="D27" s="12" t="s">
        <v>42</v>
      </c>
      <c r="E27">
        <f t="shared" si="0"/>
        <v>-12007.003325770855</v>
      </c>
      <c r="F27">
        <f t="shared" si="1"/>
        <v>-12007</v>
      </c>
      <c r="G27">
        <f t="shared" si="2"/>
        <v>-5.1600000006146729E-3</v>
      </c>
      <c r="I27">
        <f t="shared" si="5"/>
        <v>-5.1600000006146729E-3</v>
      </c>
      <c r="O27">
        <f t="shared" ca="1" si="3"/>
        <v>-8.4899320676625721E-3</v>
      </c>
      <c r="Q27" s="1">
        <f t="shared" si="4"/>
        <v>19610.940000000002</v>
      </c>
    </row>
    <row r="28" spans="1:18">
      <c r="A28" t="s">
        <v>59</v>
      </c>
      <c r="B28" t="s">
        <v>93</v>
      </c>
      <c r="C28" s="12">
        <v>37490.453999999998</v>
      </c>
      <c r="D28" s="12" t="s">
        <v>42</v>
      </c>
      <c r="E28">
        <f t="shared" si="0"/>
        <v>-10162.996158605756</v>
      </c>
      <c r="F28">
        <f t="shared" si="1"/>
        <v>-10163</v>
      </c>
      <c r="G28">
        <f t="shared" si="2"/>
        <v>5.9599999949568883E-3</v>
      </c>
      <c r="I28">
        <f t="shared" si="5"/>
        <v>5.9599999949568883E-3</v>
      </c>
      <c r="O28">
        <f t="shared" ca="1" si="3"/>
        <v>-1.3282442875057456E-2</v>
      </c>
      <c r="Q28" s="1">
        <f t="shared" si="4"/>
        <v>22471.953999999998</v>
      </c>
    </row>
    <row r="29" spans="1:18">
      <c r="A29" t="s">
        <v>59</v>
      </c>
      <c r="B29" t="s">
        <v>93</v>
      </c>
      <c r="C29" s="12">
        <v>37521.466999999997</v>
      </c>
      <c r="D29" s="12" t="s">
        <v>42</v>
      </c>
      <c r="E29">
        <f t="shared" si="0"/>
        <v>-10143.007373414461</v>
      </c>
      <c r="F29">
        <f t="shared" si="1"/>
        <v>-10143</v>
      </c>
      <c r="G29">
        <f t="shared" si="2"/>
        <v>-1.1440000002039596E-2</v>
      </c>
      <c r="I29">
        <f t="shared" si="5"/>
        <v>-1.1440000002039596E-2</v>
      </c>
      <c r="O29">
        <f t="shared" ca="1" si="3"/>
        <v>-1.3334422384899049E-2</v>
      </c>
      <c r="Q29" s="1">
        <f t="shared" si="4"/>
        <v>22502.966999999997</v>
      </c>
    </row>
    <row r="30" spans="1:18">
      <c r="A30" t="s">
        <v>59</v>
      </c>
      <c r="B30" t="s">
        <v>93</v>
      </c>
      <c r="C30" s="12">
        <v>37549.415999999997</v>
      </c>
      <c r="D30" s="12" t="s">
        <v>42</v>
      </c>
      <c r="E30">
        <f t="shared" si="0"/>
        <v>-10124.993425801797</v>
      </c>
      <c r="F30">
        <f t="shared" si="1"/>
        <v>-10125</v>
      </c>
      <c r="G30">
        <f t="shared" si="2"/>
        <v>1.0199999996984843E-2</v>
      </c>
      <c r="I30">
        <f t="shared" si="5"/>
        <v>1.0199999996984843E-2</v>
      </c>
      <c r="O30">
        <f t="shared" ca="1" si="3"/>
        <v>-1.3381203943756484E-2</v>
      </c>
      <c r="Q30" s="1">
        <f t="shared" si="4"/>
        <v>22530.915999999997</v>
      </c>
    </row>
    <row r="31" spans="1:18">
      <c r="A31" t="s">
        <v>59</v>
      </c>
      <c r="B31" t="s">
        <v>93</v>
      </c>
      <c r="C31" s="12">
        <v>39732.341999999997</v>
      </c>
      <c r="D31" s="12" t="s">
        <v>42</v>
      </c>
      <c r="E31">
        <f t="shared" si="0"/>
        <v>-8718.0337991131291</v>
      </c>
      <c r="F31">
        <f t="shared" si="1"/>
        <v>-8718</v>
      </c>
      <c r="G31">
        <f t="shared" si="2"/>
        <v>-5.2440000006754417E-2</v>
      </c>
      <c r="I31">
        <f t="shared" si="5"/>
        <v>-5.2440000006754417E-2</v>
      </c>
      <c r="O31">
        <f t="shared" ca="1" si="3"/>
        <v>-1.7037962461112558E-2</v>
      </c>
      <c r="Q31" s="1">
        <f t="shared" si="4"/>
        <v>24713.841999999997</v>
      </c>
    </row>
    <row r="32" spans="1:18">
      <c r="A32" t="s">
        <v>59</v>
      </c>
      <c r="B32" t="s">
        <v>93</v>
      </c>
      <c r="C32" s="12">
        <v>39791.324999999997</v>
      </c>
      <c r="D32" s="12" t="s">
        <v>42</v>
      </c>
      <c r="E32">
        <f t="shared" si="0"/>
        <v>-8680.0175311952171</v>
      </c>
      <c r="F32">
        <f t="shared" si="1"/>
        <v>-8680</v>
      </c>
      <c r="G32">
        <f t="shared" si="2"/>
        <v>-2.7200000004086178E-2</v>
      </c>
      <c r="I32">
        <f t="shared" si="5"/>
        <v>-2.7200000004086178E-2</v>
      </c>
      <c r="O32">
        <f t="shared" ca="1" si="3"/>
        <v>-1.7136723529811587E-2</v>
      </c>
      <c r="Q32" s="1">
        <f t="shared" si="4"/>
        <v>24772.824999999997</v>
      </c>
    </row>
    <row r="33" spans="1:18">
      <c r="A33" s="10" t="s">
        <v>27</v>
      </c>
      <c r="B33" s="11"/>
      <c r="C33" s="12">
        <v>53258.5458</v>
      </c>
      <c r="D33" s="12">
        <v>2.7000000000000001E-3</v>
      </c>
      <c r="E33">
        <f t="shared" si="0"/>
        <v>0</v>
      </c>
      <c r="F33">
        <f t="shared" si="1"/>
        <v>0</v>
      </c>
      <c r="G33">
        <f t="shared" si="2"/>
        <v>0</v>
      </c>
      <c r="J33">
        <f>+G33</f>
        <v>0</v>
      </c>
      <c r="O33">
        <f t="shared" ca="1" si="3"/>
        <v>-3.9695830801062995E-2</v>
      </c>
      <c r="Q33" s="1">
        <f t="shared" si="4"/>
        <v>38240.0458</v>
      </c>
      <c r="R33" t="s">
        <v>36</v>
      </c>
    </row>
    <row r="34" spans="1:18">
      <c r="A34" t="s">
        <v>89</v>
      </c>
      <c r="B34" t="s">
        <v>93</v>
      </c>
      <c r="C34" s="12">
        <v>55050.469499999999</v>
      </c>
      <c r="D34" s="12" t="s">
        <v>42</v>
      </c>
      <c r="E34">
        <f t="shared" si="0"/>
        <v>1154.9472130555837</v>
      </c>
      <c r="F34">
        <f t="shared" si="1"/>
        <v>1155</v>
      </c>
      <c r="G34">
        <f t="shared" si="2"/>
        <v>-8.1899999997403938E-2</v>
      </c>
      <c r="I34">
        <f>+G34</f>
        <v>-8.1899999997403938E-2</v>
      </c>
      <c r="O34">
        <f t="shared" ca="1" si="3"/>
        <v>-4.2697647494415E-2</v>
      </c>
      <c r="Q34" s="1">
        <f t="shared" si="4"/>
        <v>40031.969499999999</v>
      </c>
    </row>
    <row r="35" spans="1:18">
      <c r="A35" t="s">
        <v>89</v>
      </c>
      <c r="B35" t="s">
        <v>93</v>
      </c>
      <c r="C35" s="12">
        <v>55067.584300000002</v>
      </c>
      <c r="D35" s="12" t="s">
        <v>42</v>
      </c>
      <c r="E35">
        <f t="shared" si="0"/>
        <v>1165.9782020212451</v>
      </c>
      <c r="F35">
        <f t="shared" si="1"/>
        <v>1166</v>
      </c>
      <c r="G35">
        <f t="shared" si="2"/>
        <v>-3.3819999996921979E-2</v>
      </c>
      <c r="I35">
        <f>+G35</f>
        <v>-3.3819999996921979E-2</v>
      </c>
      <c r="O35">
        <f t="shared" ca="1" si="3"/>
        <v>-4.2726236224827872E-2</v>
      </c>
      <c r="Q35" s="1">
        <f t="shared" si="4"/>
        <v>40049.084300000002</v>
      </c>
    </row>
    <row r="36" spans="1:18">
      <c r="C36" s="12"/>
      <c r="D36" s="12"/>
    </row>
    <row r="37" spans="1:18">
      <c r="C37" s="12"/>
      <c r="D37" s="12"/>
    </row>
    <row r="38" spans="1:18">
      <c r="C38" s="12"/>
      <c r="D38" s="12"/>
    </row>
    <row r="39" spans="1:18">
      <c r="C39" s="12"/>
      <c r="D39" s="12"/>
    </row>
    <row r="40" spans="1:18">
      <c r="C40" s="12"/>
      <c r="D40" s="12"/>
    </row>
    <row r="41" spans="1:18">
      <c r="C41" s="12"/>
      <c r="D41" s="12"/>
    </row>
    <row r="42" spans="1:18">
      <c r="C42" s="12"/>
      <c r="D42" s="12"/>
    </row>
    <row r="43" spans="1:18">
      <c r="C43" s="12"/>
      <c r="D43" s="12"/>
    </row>
    <row r="44" spans="1:18">
      <c r="C44" s="12"/>
      <c r="D44" s="12"/>
    </row>
    <row r="45" spans="1:18">
      <c r="C45" s="12"/>
      <c r="D45" s="12"/>
    </row>
    <row r="46" spans="1:18">
      <c r="C46" s="12"/>
      <c r="D46" s="12"/>
    </row>
    <row r="47" spans="1:18">
      <c r="C47" s="12"/>
      <c r="D47" s="12"/>
    </row>
    <row r="48" spans="1:18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workbookViewId="0">
      <selection activeCell="A12" sqref="A12:D24"/>
    </sheetView>
  </sheetViews>
  <sheetFormatPr defaultRowHeight="12.75"/>
  <cols>
    <col min="1" max="1" width="19.7109375" style="12" customWidth="1"/>
    <col min="2" max="2" width="4.42578125" style="20" customWidth="1"/>
    <col min="3" max="3" width="12.7109375" style="12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2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19" t="s">
        <v>32</v>
      </c>
      <c r="I1" s="21" t="s">
        <v>33</v>
      </c>
      <c r="J1" s="22" t="s">
        <v>34</v>
      </c>
    </row>
    <row r="2" spans="1:16">
      <c r="I2" s="23" t="s">
        <v>35</v>
      </c>
      <c r="J2" s="24" t="s">
        <v>36</v>
      </c>
    </row>
    <row r="3" spans="1:16">
      <c r="A3" s="25" t="s">
        <v>37</v>
      </c>
      <c r="I3" s="23" t="s">
        <v>38</v>
      </c>
      <c r="J3" s="24" t="s">
        <v>39</v>
      </c>
    </row>
    <row r="4" spans="1:16">
      <c r="I4" s="23" t="s">
        <v>40</v>
      </c>
      <c r="J4" s="24" t="s">
        <v>39</v>
      </c>
    </row>
    <row r="5" spans="1:16" ht="13.5" thickBot="1">
      <c r="I5" s="26" t="s">
        <v>41</v>
      </c>
      <c r="J5" s="27" t="s">
        <v>42</v>
      </c>
    </row>
    <row r="10" spans="1:16" ht="13.5" thickBot="1"/>
    <row r="11" spans="1:16" ht="12.75" customHeight="1" thickBot="1">
      <c r="A11" s="12" t="str">
        <f t="shared" ref="A11:A24" si="0">P11</f>
        <v> AJ 56.207 </v>
      </c>
      <c r="B11" s="5" t="str">
        <f t="shared" ref="B11:B24" si="1">IF(H11=INT(H11),"I","II")</f>
        <v>I</v>
      </c>
      <c r="C11" s="12">
        <f t="shared" ref="C11:C24" si="2">1*G11</f>
        <v>32708.664000000001</v>
      </c>
      <c r="D11" s="20" t="str">
        <f t="shared" ref="D11:D24" si="3">VLOOKUP(F11,I$1:J$5,2,FALSE)</f>
        <v>vis</v>
      </c>
      <c r="E11" s="28">
        <f>VLOOKUP(C11,Active!C$21:E$973,3,FALSE)</f>
        <v>-13244.999613282458</v>
      </c>
      <c r="F11" s="5" t="s">
        <v>41</v>
      </c>
      <c r="G11" s="20" t="str">
        <f t="shared" ref="G11:G24" si="4">MID(I11,3,LEN(I11)-3)</f>
        <v>32708.664</v>
      </c>
      <c r="H11" s="12">
        <f t="shared" ref="H11:H24" si="5">1*K11</f>
        <v>0</v>
      </c>
      <c r="I11" s="29" t="s">
        <v>44</v>
      </c>
      <c r="J11" s="30" t="s">
        <v>45</v>
      </c>
      <c r="K11" s="29">
        <v>0</v>
      </c>
      <c r="L11" s="29" t="s">
        <v>46</v>
      </c>
      <c r="M11" s="30" t="s">
        <v>43</v>
      </c>
      <c r="N11" s="30"/>
      <c r="O11" s="31" t="s">
        <v>47</v>
      </c>
      <c r="P11" s="31" t="s">
        <v>48</v>
      </c>
    </row>
    <row r="12" spans="1:16" ht="12.75" customHeight="1" thickBot="1">
      <c r="A12" s="12" t="str">
        <f t="shared" si="0"/>
        <v> AJ 56.207 </v>
      </c>
      <c r="B12" s="5" t="str">
        <f t="shared" si="1"/>
        <v>I</v>
      </c>
      <c r="C12" s="12">
        <f t="shared" si="2"/>
        <v>33113.610999999997</v>
      </c>
      <c r="D12" s="20" t="str">
        <f t="shared" si="3"/>
        <v>vis</v>
      </c>
      <c r="E12" s="28">
        <f>VLOOKUP(C12,Active!C$21:E$973,3,FALSE)</f>
        <v>-12983.999432814275</v>
      </c>
      <c r="F12" s="5" t="s">
        <v>41</v>
      </c>
      <c r="G12" s="20" t="str">
        <f t="shared" si="4"/>
        <v>33113.611</v>
      </c>
      <c r="H12" s="12">
        <f t="shared" si="5"/>
        <v>261</v>
      </c>
      <c r="I12" s="29" t="s">
        <v>49</v>
      </c>
      <c r="J12" s="30" t="s">
        <v>50</v>
      </c>
      <c r="K12" s="29">
        <v>261</v>
      </c>
      <c r="L12" s="29" t="s">
        <v>46</v>
      </c>
      <c r="M12" s="30" t="s">
        <v>43</v>
      </c>
      <c r="N12" s="30"/>
      <c r="O12" s="31" t="s">
        <v>47</v>
      </c>
      <c r="P12" s="31" t="s">
        <v>48</v>
      </c>
    </row>
    <row r="13" spans="1:16" ht="12.75" customHeight="1" thickBot="1">
      <c r="A13" s="12" t="str">
        <f t="shared" si="0"/>
        <v> AJ 56.207 </v>
      </c>
      <c r="B13" s="5" t="str">
        <f t="shared" si="1"/>
        <v>I</v>
      </c>
      <c r="C13" s="12">
        <f t="shared" si="2"/>
        <v>33504.593000000001</v>
      </c>
      <c r="D13" s="20" t="str">
        <f t="shared" si="3"/>
        <v>vis</v>
      </c>
      <c r="E13" s="28">
        <f>VLOOKUP(C13,Active!C$21:E$973,3,FALSE)</f>
        <v>-12732.000103124677</v>
      </c>
      <c r="F13" s="5" t="s">
        <v>41</v>
      </c>
      <c r="G13" s="20" t="str">
        <f t="shared" si="4"/>
        <v>33504.593</v>
      </c>
      <c r="H13" s="12">
        <f t="shared" si="5"/>
        <v>513</v>
      </c>
      <c r="I13" s="29" t="s">
        <v>51</v>
      </c>
      <c r="J13" s="30" t="s">
        <v>52</v>
      </c>
      <c r="K13" s="29">
        <v>513</v>
      </c>
      <c r="L13" s="29" t="s">
        <v>53</v>
      </c>
      <c r="M13" s="30" t="s">
        <v>43</v>
      </c>
      <c r="N13" s="30"/>
      <c r="O13" s="31" t="s">
        <v>47</v>
      </c>
      <c r="P13" s="31" t="s">
        <v>48</v>
      </c>
    </row>
    <row r="14" spans="1:16" ht="12.75" customHeight="1" thickBot="1">
      <c r="A14" s="12" t="str">
        <f t="shared" si="0"/>
        <v> MSAI 40.396 </v>
      </c>
      <c r="B14" s="5" t="str">
        <f t="shared" si="1"/>
        <v>I</v>
      </c>
      <c r="C14" s="12">
        <f t="shared" si="2"/>
        <v>33861.436999999998</v>
      </c>
      <c r="D14" s="20" t="str">
        <f t="shared" si="3"/>
        <v>vis</v>
      </c>
      <c r="E14" s="28">
        <f>VLOOKUP(C14,Active!C$21:E$973,3,FALSE)</f>
        <v>-12502.0037124884</v>
      </c>
      <c r="F14" s="5" t="s">
        <v>41</v>
      </c>
      <c r="G14" s="20" t="str">
        <f t="shared" si="4"/>
        <v>33861.437</v>
      </c>
      <c r="H14" s="12">
        <f t="shared" si="5"/>
        <v>743</v>
      </c>
      <c r="I14" s="29" t="s">
        <v>54</v>
      </c>
      <c r="J14" s="30" t="s">
        <v>55</v>
      </c>
      <c r="K14" s="29">
        <v>743</v>
      </c>
      <c r="L14" s="29" t="s">
        <v>56</v>
      </c>
      <c r="M14" s="30" t="s">
        <v>57</v>
      </c>
      <c r="N14" s="30"/>
      <c r="O14" s="31" t="s">
        <v>58</v>
      </c>
      <c r="P14" s="31" t="s">
        <v>59</v>
      </c>
    </row>
    <row r="15" spans="1:16" ht="12.75" customHeight="1" thickBot="1">
      <c r="A15" s="12" t="str">
        <f t="shared" si="0"/>
        <v> MSAI 40.396 </v>
      </c>
      <c r="B15" s="5" t="str">
        <f t="shared" si="1"/>
        <v>I</v>
      </c>
      <c r="C15" s="12">
        <f t="shared" si="2"/>
        <v>34252.387999999999</v>
      </c>
      <c r="D15" s="20" t="str">
        <f t="shared" si="3"/>
        <v>vis</v>
      </c>
      <c r="E15" s="28">
        <f>VLOOKUP(C15,Active!C$21:E$973,3,FALSE)</f>
        <v>-12250.024363205115</v>
      </c>
      <c r="F15" s="5" t="s">
        <v>41</v>
      </c>
      <c r="G15" s="20" t="str">
        <f t="shared" si="4"/>
        <v>34252.388</v>
      </c>
      <c r="H15" s="12">
        <f t="shared" si="5"/>
        <v>995</v>
      </c>
      <c r="I15" s="29" t="s">
        <v>60</v>
      </c>
      <c r="J15" s="30" t="s">
        <v>61</v>
      </c>
      <c r="K15" s="29">
        <v>995</v>
      </c>
      <c r="L15" s="29" t="s">
        <v>62</v>
      </c>
      <c r="M15" s="30" t="s">
        <v>57</v>
      </c>
      <c r="N15" s="30"/>
      <c r="O15" s="31" t="s">
        <v>58</v>
      </c>
      <c r="P15" s="31" t="s">
        <v>59</v>
      </c>
    </row>
    <row r="16" spans="1:16" ht="12.75" customHeight="1" thickBot="1">
      <c r="A16" s="12" t="str">
        <f t="shared" si="0"/>
        <v> MSAI 40.396 </v>
      </c>
      <c r="B16" s="5" t="str">
        <f t="shared" si="1"/>
        <v>I</v>
      </c>
      <c r="C16" s="12">
        <f t="shared" si="2"/>
        <v>34269.482000000004</v>
      </c>
      <c r="D16" s="20" t="str">
        <f t="shared" si="3"/>
        <v>vis</v>
      </c>
      <c r="E16" s="28">
        <f>VLOOKUP(C16,Active!C$21:E$973,3,FALSE)</f>
        <v>-12239.006780447558</v>
      </c>
      <c r="F16" s="5" t="s">
        <v>41</v>
      </c>
      <c r="G16" s="20" t="str">
        <f t="shared" si="4"/>
        <v>34269.482</v>
      </c>
      <c r="H16" s="12">
        <f t="shared" si="5"/>
        <v>1006</v>
      </c>
      <c r="I16" s="29" t="s">
        <v>63</v>
      </c>
      <c r="J16" s="30" t="s">
        <v>64</v>
      </c>
      <c r="K16" s="29">
        <v>1006</v>
      </c>
      <c r="L16" s="29" t="s">
        <v>65</v>
      </c>
      <c r="M16" s="30" t="s">
        <v>57</v>
      </c>
      <c r="N16" s="30"/>
      <c r="O16" s="31" t="s">
        <v>58</v>
      </c>
      <c r="P16" s="31" t="s">
        <v>59</v>
      </c>
    </row>
    <row r="17" spans="1:16" ht="12.75" customHeight="1" thickBot="1">
      <c r="A17" s="12" t="str">
        <f t="shared" si="0"/>
        <v> MSAI 40.396 </v>
      </c>
      <c r="B17" s="5" t="str">
        <f t="shared" si="1"/>
        <v>I</v>
      </c>
      <c r="C17" s="12">
        <f t="shared" si="2"/>
        <v>34629.440000000002</v>
      </c>
      <c r="D17" s="20" t="str">
        <f t="shared" si="3"/>
        <v>vis</v>
      </c>
      <c r="E17" s="28">
        <f>VLOOKUP(C17,Active!C$21:E$973,3,FALSE)</f>
        <v>-12007.003325770855</v>
      </c>
      <c r="F17" s="5" t="s">
        <v>41</v>
      </c>
      <c r="G17" s="20" t="str">
        <f t="shared" si="4"/>
        <v>34629.440</v>
      </c>
      <c r="H17" s="12">
        <f t="shared" si="5"/>
        <v>1238</v>
      </c>
      <c r="I17" s="29" t="s">
        <v>66</v>
      </c>
      <c r="J17" s="30" t="s">
        <v>67</v>
      </c>
      <c r="K17" s="29">
        <v>1238</v>
      </c>
      <c r="L17" s="29" t="s">
        <v>56</v>
      </c>
      <c r="M17" s="30" t="s">
        <v>57</v>
      </c>
      <c r="N17" s="30"/>
      <c r="O17" s="31" t="s">
        <v>58</v>
      </c>
      <c r="P17" s="31" t="s">
        <v>59</v>
      </c>
    </row>
    <row r="18" spans="1:16" ht="12.75" customHeight="1" thickBot="1">
      <c r="A18" s="12" t="str">
        <f t="shared" si="0"/>
        <v> MSAI 40.396 </v>
      </c>
      <c r="B18" s="5" t="str">
        <f t="shared" si="1"/>
        <v>I</v>
      </c>
      <c r="C18" s="12">
        <f t="shared" si="2"/>
        <v>37490.453999999998</v>
      </c>
      <c r="D18" s="20" t="str">
        <f t="shared" si="3"/>
        <v>vis</v>
      </c>
      <c r="E18" s="28">
        <f>VLOOKUP(C18,Active!C$21:E$973,3,FALSE)</f>
        <v>-10162.996158605756</v>
      </c>
      <c r="F18" s="5" t="s">
        <v>41</v>
      </c>
      <c r="G18" s="20" t="str">
        <f t="shared" si="4"/>
        <v>37490.454</v>
      </c>
      <c r="H18" s="12">
        <f t="shared" si="5"/>
        <v>3082</v>
      </c>
      <c r="I18" s="29" t="s">
        <v>68</v>
      </c>
      <c r="J18" s="30" t="s">
        <v>69</v>
      </c>
      <c r="K18" s="29">
        <v>3082</v>
      </c>
      <c r="L18" s="29" t="s">
        <v>70</v>
      </c>
      <c r="M18" s="30" t="s">
        <v>57</v>
      </c>
      <c r="N18" s="30"/>
      <c r="O18" s="31" t="s">
        <v>58</v>
      </c>
      <c r="P18" s="31" t="s">
        <v>59</v>
      </c>
    </row>
    <row r="19" spans="1:16" ht="12.75" customHeight="1" thickBot="1">
      <c r="A19" s="12" t="str">
        <f t="shared" si="0"/>
        <v> MSAI 40.396 </v>
      </c>
      <c r="B19" s="5" t="str">
        <f t="shared" si="1"/>
        <v>I</v>
      </c>
      <c r="C19" s="12">
        <f t="shared" si="2"/>
        <v>37521.466999999997</v>
      </c>
      <c r="D19" s="20" t="str">
        <f t="shared" si="3"/>
        <v>vis</v>
      </c>
      <c r="E19" s="28">
        <f>VLOOKUP(C19,Active!C$21:E$973,3,FALSE)</f>
        <v>-10143.007373414461</v>
      </c>
      <c r="F19" s="5" t="s">
        <v>41</v>
      </c>
      <c r="G19" s="20" t="str">
        <f t="shared" si="4"/>
        <v>37521.467</v>
      </c>
      <c r="H19" s="12">
        <f t="shared" si="5"/>
        <v>3102</v>
      </c>
      <c r="I19" s="29" t="s">
        <v>71</v>
      </c>
      <c r="J19" s="30" t="s">
        <v>72</v>
      </c>
      <c r="K19" s="29">
        <v>3102</v>
      </c>
      <c r="L19" s="29" t="s">
        <v>73</v>
      </c>
      <c r="M19" s="30" t="s">
        <v>57</v>
      </c>
      <c r="N19" s="30"/>
      <c r="O19" s="31" t="s">
        <v>58</v>
      </c>
      <c r="P19" s="31" t="s">
        <v>59</v>
      </c>
    </row>
    <row r="20" spans="1:16" ht="12.75" customHeight="1" thickBot="1">
      <c r="A20" s="12" t="str">
        <f t="shared" si="0"/>
        <v> MSAI 40.396 </v>
      </c>
      <c r="B20" s="5" t="str">
        <f t="shared" si="1"/>
        <v>I</v>
      </c>
      <c r="C20" s="12">
        <f t="shared" si="2"/>
        <v>37549.415999999997</v>
      </c>
      <c r="D20" s="20" t="str">
        <f t="shared" si="3"/>
        <v>vis</v>
      </c>
      <c r="E20" s="28">
        <f>VLOOKUP(C20,Active!C$21:E$973,3,FALSE)</f>
        <v>-10124.993425801797</v>
      </c>
      <c r="F20" s="5" t="s">
        <v>41</v>
      </c>
      <c r="G20" s="20" t="str">
        <f t="shared" si="4"/>
        <v>37549.416</v>
      </c>
      <c r="H20" s="12">
        <f t="shared" si="5"/>
        <v>3120</v>
      </c>
      <c r="I20" s="29" t="s">
        <v>74</v>
      </c>
      <c r="J20" s="30" t="s">
        <v>75</v>
      </c>
      <c r="K20" s="29">
        <v>3120</v>
      </c>
      <c r="L20" s="29" t="s">
        <v>76</v>
      </c>
      <c r="M20" s="30" t="s">
        <v>57</v>
      </c>
      <c r="N20" s="30"/>
      <c r="O20" s="31" t="s">
        <v>58</v>
      </c>
      <c r="P20" s="31" t="s">
        <v>59</v>
      </c>
    </row>
    <row r="21" spans="1:16" ht="12.75" customHeight="1" thickBot="1">
      <c r="A21" s="12" t="str">
        <f t="shared" si="0"/>
        <v> MSAI 40.396 </v>
      </c>
      <c r="B21" s="5" t="str">
        <f t="shared" si="1"/>
        <v>I</v>
      </c>
      <c r="C21" s="12">
        <f t="shared" si="2"/>
        <v>39732.341999999997</v>
      </c>
      <c r="D21" s="20" t="str">
        <f t="shared" si="3"/>
        <v>vis</v>
      </c>
      <c r="E21" s="28">
        <f>VLOOKUP(C21,Active!C$21:E$973,3,FALSE)</f>
        <v>-8718.0337991131291</v>
      </c>
      <c r="F21" s="5" t="s">
        <v>41</v>
      </c>
      <c r="G21" s="20" t="str">
        <f t="shared" si="4"/>
        <v>39732.342</v>
      </c>
      <c r="H21" s="12">
        <f t="shared" si="5"/>
        <v>4527</v>
      </c>
      <c r="I21" s="29" t="s">
        <v>77</v>
      </c>
      <c r="J21" s="30" t="s">
        <v>78</v>
      </c>
      <c r="K21" s="29">
        <v>4527</v>
      </c>
      <c r="L21" s="29" t="s">
        <v>79</v>
      </c>
      <c r="M21" s="30" t="s">
        <v>57</v>
      </c>
      <c r="N21" s="30"/>
      <c r="O21" s="31" t="s">
        <v>58</v>
      </c>
      <c r="P21" s="31" t="s">
        <v>59</v>
      </c>
    </row>
    <row r="22" spans="1:16" ht="12.75" customHeight="1" thickBot="1">
      <c r="A22" s="12" t="str">
        <f t="shared" si="0"/>
        <v> MSAI 40.396 </v>
      </c>
      <c r="B22" s="5" t="str">
        <f t="shared" si="1"/>
        <v>I</v>
      </c>
      <c r="C22" s="12">
        <f t="shared" si="2"/>
        <v>39791.324999999997</v>
      </c>
      <c r="D22" s="20" t="str">
        <f t="shared" si="3"/>
        <v>vis</v>
      </c>
      <c r="E22" s="28">
        <f>VLOOKUP(C22,Active!C$21:E$973,3,FALSE)</f>
        <v>-8680.0175311952171</v>
      </c>
      <c r="F22" s="5" t="s">
        <v>41</v>
      </c>
      <c r="G22" s="20" t="str">
        <f t="shared" si="4"/>
        <v>39791.325</v>
      </c>
      <c r="H22" s="12">
        <f t="shared" si="5"/>
        <v>4565</v>
      </c>
      <c r="I22" s="29" t="s">
        <v>80</v>
      </c>
      <c r="J22" s="30" t="s">
        <v>81</v>
      </c>
      <c r="K22" s="29">
        <v>4565</v>
      </c>
      <c r="L22" s="29" t="s">
        <v>82</v>
      </c>
      <c r="M22" s="30" t="s">
        <v>57</v>
      </c>
      <c r="N22" s="30"/>
      <c r="O22" s="31" t="s">
        <v>58</v>
      </c>
      <c r="P22" s="31" t="s">
        <v>59</v>
      </c>
    </row>
    <row r="23" spans="1:16" ht="12.75" customHeight="1" thickBot="1">
      <c r="A23" s="12" t="str">
        <f t="shared" si="0"/>
        <v>BAVM 212 </v>
      </c>
      <c r="B23" s="5" t="str">
        <f t="shared" si="1"/>
        <v>I</v>
      </c>
      <c r="C23" s="12">
        <f t="shared" si="2"/>
        <v>55050.469499999999</v>
      </c>
      <c r="D23" s="20" t="str">
        <f t="shared" si="3"/>
        <v>vis</v>
      </c>
      <c r="E23" s="28">
        <f>VLOOKUP(C23,Active!C$21:E$973,3,FALSE)</f>
        <v>1154.9472130555837</v>
      </c>
      <c r="F23" s="5" t="s">
        <v>41</v>
      </c>
      <c r="G23" s="20" t="str">
        <f t="shared" si="4"/>
        <v>55050.4695</v>
      </c>
      <c r="H23" s="12">
        <f t="shared" si="5"/>
        <v>14400</v>
      </c>
      <c r="I23" s="29" t="s">
        <v>83</v>
      </c>
      <c r="J23" s="30" t="s">
        <v>84</v>
      </c>
      <c r="K23" s="29">
        <v>14400</v>
      </c>
      <c r="L23" s="29" t="s">
        <v>85</v>
      </c>
      <c r="M23" s="30" t="s">
        <v>86</v>
      </c>
      <c r="N23" s="30" t="s">
        <v>87</v>
      </c>
      <c r="O23" s="31" t="s">
        <v>88</v>
      </c>
      <c r="P23" s="32" t="s">
        <v>89</v>
      </c>
    </row>
    <row r="24" spans="1:16" ht="12.75" customHeight="1" thickBot="1">
      <c r="A24" s="12" t="str">
        <f t="shared" si="0"/>
        <v>BAVM 212 </v>
      </c>
      <c r="B24" s="5" t="str">
        <f t="shared" si="1"/>
        <v>I</v>
      </c>
      <c r="C24" s="12">
        <f t="shared" si="2"/>
        <v>55067.584300000002</v>
      </c>
      <c r="D24" s="20" t="str">
        <f t="shared" si="3"/>
        <v>vis</v>
      </c>
      <c r="E24" s="28">
        <f>VLOOKUP(C24,Active!C$21:E$973,3,FALSE)</f>
        <v>1165.9782020212451</v>
      </c>
      <c r="F24" s="5" t="s">
        <v>41</v>
      </c>
      <c r="G24" s="20" t="str">
        <f t="shared" si="4"/>
        <v>55067.5843</v>
      </c>
      <c r="H24" s="12">
        <f t="shared" si="5"/>
        <v>14411</v>
      </c>
      <c r="I24" s="29" t="s">
        <v>90</v>
      </c>
      <c r="J24" s="30" t="s">
        <v>91</v>
      </c>
      <c r="K24" s="29">
        <v>14411</v>
      </c>
      <c r="L24" s="29" t="s">
        <v>92</v>
      </c>
      <c r="M24" s="30" t="s">
        <v>86</v>
      </c>
      <c r="N24" s="30" t="s">
        <v>87</v>
      </c>
      <c r="O24" s="31" t="s">
        <v>88</v>
      </c>
      <c r="P24" s="32" t="s">
        <v>89</v>
      </c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</sheetData>
  <phoneticPr fontId="6" type="noConversion"/>
  <hyperlinks>
    <hyperlink ref="P23" r:id="rId1" display="http://www.bav-astro.de/sfs/BAVM_link.php?BAVMnr=212"/>
    <hyperlink ref="P24" r:id="rId2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2024-01-31T04:42:46Z</dcterms:modified>
</cp:coreProperties>
</file>