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5239CC-E9D9-4FBD-95C5-6664BC2302E3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E24" i="1"/>
  <c r="F24" i="1"/>
  <c r="G24" i="1"/>
  <c r="K24" i="1"/>
  <c r="Q24" i="1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D9" i="1"/>
  <c r="C9" i="1"/>
  <c r="Q26" i="1"/>
  <c r="F16" i="1"/>
  <c r="F17" i="1" s="1"/>
  <c r="Q25" i="1"/>
  <c r="C7" i="2"/>
  <c r="E23" i="2"/>
  <c r="F23" i="2"/>
  <c r="C8" i="2"/>
  <c r="F11" i="2"/>
  <c r="G11" i="2"/>
  <c r="E15" i="2"/>
  <c r="C17" i="2"/>
  <c r="Q21" i="2"/>
  <c r="Q22" i="2"/>
  <c r="Q23" i="2"/>
  <c r="Q22" i="1"/>
  <c r="C8" i="1"/>
  <c r="C7" i="1"/>
  <c r="E26" i="1"/>
  <c r="F26" i="1"/>
  <c r="C17" i="1"/>
  <c r="Q21" i="1"/>
  <c r="G21" i="2"/>
  <c r="H21" i="2"/>
  <c r="E21" i="2"/>
  <c r="F21" i="2"/>
  <c r="E22" i="1"/>
  <c r="F22" i="1"/>
  <c r="G22" i="1"/>
  <c r="E25" i="1"/>
  <c r="F25" i="1"/>
  <c r="G25" i="1"/>
  <c r="J25" i="1"/>
  <c r="E21" i="1"/>
  <c r="F21" i="1"/>
  <c r="G21" i="1"/>
  <c r="I21" i="1"/>
  <c r="G26" i="1"/>
  <c r="K26" i="1"/>
  <c r="G23" i="2"/>
  <c r="I23" i="2"/>
  <c r="E22" i="2"/>
  <c r="F22" i="2"/>
  <c r="G22" i="2"/>
  <c r="I22" i="2"/>
  <c r="K22" i="1"/>
  <c r="C11" i="1"/>
  <c r="C11" i="2"/>
  <c r="C12" i="1"/>
  <c r="C12" i="2"/>
  <c r="C16" i="2" l="1"/>
  <c r="D18" i="2" s="1"/>
  <c r="C16" i="1"/>
  <c r="D18" i="1" s="1"/>
  <c r="O21" i="2"/>
  <c r="O25" i="2"/>
  <c r="O23" i="2"/>
  <c r="O22" i="2"/>
  <c r="O26" i="2"/>
  <c r="C15" i="2"/>
  <c r="O24" i="2"/>
  <c r="O25" i="1"/>
  <c r="O22" i="1"/>
  <c r="O21" i="1"/>
  <c r="C15" i="1"/>
  <c r="O23" i="1"/>
  <c r="O26" i="1"/>
  <c r="O24" i="1"/>
  <c r="C18" i="1" l="1"/>
  <c r="C18" i="2"/>
  <c r="F18" i="1"/>
  <c r="F19" i="1" s="1"/>
  <c r="E16" i="2"/>
  <c r="E17" i="2" s="1"/>
</calcChain>
</file>

<file path=xl/sharedStrings.xml><?xml version="1.0" encoding="utf-8"?>
<sst xmlns="http://schemas.openxmlformats.org/spreadsheetml/2006/main" count="105" uniqueCount="53">
  <si>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</si>
  <si>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</si>
  <si>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</si>
  <si>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</si>
  <si>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</si>
  <si>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</si>
  <si>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</si>
  <si>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</si>
  <si>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</si>
  <si>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</si>
  <si>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</si>
  <si>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</si>
  <si>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</si>
  <si>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</si>
  <si>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</si>
  <si>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</si>
  <si>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</si>
  <si>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</si>
  <si>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</si>
  <si>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</si>
  <si>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</si>
  <si>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</si>
  <si>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</si>
  <si>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</si>
  <si>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</si>
  <si>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</si>
  <si>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</si>
  <si>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</si>
  <si>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</si>
  <si>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</si>
  <si>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</si>
  <si>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</si>
  <si>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</si>
  <si>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</si>
  <si>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</si>
  <si>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</si>
  <si>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</si>
  <si>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</si>
  <si>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</si>
  <si>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</si>
  <si>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</si>
  <si>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</si>
  <si>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5931</t>
  </si>
  <si>
    <t>I</t>
  </si>
  <si>
    <t>V0703 Cyg / GSC 3602-1536</t>
  </si>
  <si>
    <t>EA</t>
  </si>
  <si>
    <t>IBVS 5652</t>
  </si>
  <si>
    <t>IBVS 6118</t>
  </si>
  <si>
    <t>Add cycle</t>
  </si>
  <si>
    <t>Old Cycle</t>
  </si>
  <si>
    <t>V703 Cyg / GSC 3602-1536</t>
  </si>
  <si>
    <t>vis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</si>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</sst>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24" borderId="0" xfId="0" applyFont="1" applyFill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V0703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1'!$D$21:$D$240</c:f>
                <c:numCache>
                  <c:formatCode>General</c:formatCode>
                  <c:ptCount val="22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1'!$D$21:$D$240</c:f>
                <c:numCache>
                  <c:formatCode>General</c:formatCode>
                  <c:ptCount val="22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1'!$H$21:$H$1000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DB-49BE-AD5D-97AC4521EACA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1'!$I$21:$I$1000</c:f>
              <c:numCache>
                <c:formatCode>General</c:formatCode>
                <c:ptCount val="98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DB-49BE-AD5D-97AC4521EAC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1'!$J$21:$J$1000</c:f>
              <c:numCache>
                <c:formatCode>General</c:formatCode>
                <c:ptCount val="980"/>
                <c:pt idx="4">
                  <c:v>-0.51499999999941792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DB-49BE-AD5D-97AC4521EAC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1'!$K$21:$K$1000</c:f>
              <c:numCache>
                <c:formatCode>General</c:formatCode>
                <c:ptCount val="980"/>
                <c:pt idx="1">
                  <c:v>0.39550000000599539</c:v>
                </c:pt>
                <c:pt idx="2">
                  <c:v>-2.2599999996600673E-2</c:v>
                </c:pt>
                <c:pt idx="3">
                  <c:v>-2.2599999996600673E-2</c:v>
                </c:pt>
                <c:pt idx="5">
                  <c:v>-0.63199999999778811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DB-49BE-AD5D-97AC4521EAC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1'!$L$21:$L$1000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DB-49BE-AD5D-97AC4521EAC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1'!$M$21:$M$1000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DB-49BE-AD5D-97AC4521EAC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1'!$D$21:$D$1000</c:f>
                <c:numCache>
                  <c:formatCode>General</c:formatCode>
                  <c:ptCount val="980"/>
                  <c:pt idx="0">
                    <c:v>0</c:v>
                  </c:pt>
                  <c:pt idx="2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1'!$N$21:$N$1000</c:f>
              <c:numCache>
                <c:formatCode>General</c:formatCode>
                <c:ptCount val="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DB-49BE-AD5D-97AC4521EAC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1'!$F$21:$F$1000</c:f>
              <c:numCache>
                <c:formatCode>General</c:formatCode>
                <c:ptCount val="980"/>
                <c:pt idx="0">
                  <c:v>0</c:v>
                </c:pt>
                <c:pt idx="1">
                  <c:v>2179.5</c:v>
                </c:pt>
                <c:pt idx="2">
                  <c:v>2517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1'!$O$21:$O$1000</c:f>
              <c:numCache>
                <c:formatCode>General</c:formatCode>
                <c:ptCount val="980"/>
                <c:pt idx="0">
                  <c:v>3.5631272323030223</c:v>
                </c:pt>
                <c:pt idx="1">
                  <c:v>0.42956061347885832</c:v>
                </c:pt>
                <c:pt idx="2">
                  <c:v>-5.5678539470513044E-2</c:v>
                </c:pt>
                <c:pt idx="3">
                  <c:v>-5.5678539470513044E-2</c:v>
                </c:pt>
                <c:pt idx="4">
                  <c:v>-0.50281743300311943</c:v>
                </c:pt>
                <c:pt idx="5">
                  <c:v>-0.61208610151912568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DB-49BE-AD5D-97AC4521E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63424"/>
        <c:axId val="1"/>
      </c:scatterChart>
      <c:valAx>
        <c:axId val="892363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63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V0703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4.1465000000025611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A1-4D4D-8CD2-AFDDB31BC1F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-2.2599999996600673E-2</c:v>
                </c:pt>
                <c:pt idx="2">
                  <c:v>0.39550000000599539</c:v>
                </c:pt>
                <c:pt idx="3">
                  <c:v>-2.2599999996600673E-2</c:v>
                </c:pt>
                <c:pt idx="4">
                  <c:v>-0.51499999999941792</c:v>
                </c:pt>
                <c:pt idx="5">
                  <c:v>-0.63199999999778811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A1-4D4D-8CD2-AFDDB31BC1F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A1-4D4D-8CD2-AFDDB31BC1F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A1-4D4D-8CD2-AFDDB31BC1F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A1-4D4D-8CD2-AFDDB31BC1F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A1-4D4D-8CD2-AFDDB31BC1F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3.5999999999999999E-3</c:v>
                  </c:pt>
                  <c:pt idx="3">
                    <c:v>3.5999999999999999E-3</c:v>
                  </c:pt>
                  <c:pt idx="4">
                    <c:v>3.5999999999999999E-3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A1-4D4D-8CD2-AFDDB31BC1F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2517</c:v>
                </c:pt>
                <c:pt idx="2">
                  <c:v>2179.5</c:v>
                </c:pt>
                <c:pt idx="3">
                  <c:v>2517</c:v>
                </c:pt>
                <c:pt idx="4">
                  <c:v>2828</c:v>
                </c:pt>
                <c:pt idx="5">
                  <c:v>2904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3.5638461051222063</c:v>
                </c:pt>
                <c:pt idx="1">
                  <c:v>-5.5678539470513044E-2</c:v>
                </c:pt>
                <c:pt idx="2">
                  <c:v>0.42956061347885832</c:v>
                </c:pt>
                <c:pt idx="3">
                  <c:v>-5.5678539470513044E-2</c:v>
                </c:pt>
                <c:pt idx="4">
                  <c:v>-0.50281743300311943</c:v>
                </c:pt>
                <c:pt idx="5">
                  <c:v>-0.61208610151912568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A1-4D4D-8CD2-AFDDB31BC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366664"/>
        <c:axId val="1"/>
      </c:scatterChart>
      <c:valAx>
        <c:axId val="892366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366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73684210526315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323850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993B40-7557-8D5D-26BA-43AF60CFE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16</xdr:col>
      <xdr:colOff>361950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E4228D6D-1142-3454-E748-9BEEBBE1F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1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50</v>
      </c>
    </row>
    <row r="2" spans="1:6">
      <c r="A2" t="s">
        <v>28</v>
      </c>
      <c r="B2" t="s">
        <v>45</v>
      </c>
      <c r="C2" s="3"/>
      <c r="D2" s="3"/>
    </row>
    <row r="3" spans="1:6" ht="13.5" thickBot="1"/>
    <row r="4" spans="1:6" ht="14.25" thickTop="1" thickBot="1">
      <c r="A4" s="5" t="s">
        <v>4</v>
      </c>
      <c r="C4" s="8">
        <v>33214.190999999999</v>
      </c>
      <c r="D4" s="9">
        <v>8.2929999999999993</v>
      </c>
    </row>
    <row r="5" spans="1:6" ht="13.5" thickTop="1">
      <c r="A5" s="11" t="s">
        <v>35</v>
      </c>
      <c r="B5" s="12"/>
      <c r="C5" s="13">
        <v>-9.5</v>
      </c>
      <c r="D5" s="12" t="s">
        <v>36</v>
      </c>
    </row>
    <row r="6" spans="1:6">
      <c r="A6" s="5" t="s">
        <v>5</v>
      </c>
    </row>
    <row r="7" spans="1:6">
      <c r="A7" t="s">
        <v>6</v>
      </c>
      <c r="C7">
        <f>+C4</f>
        <v>33214.190999999999</v>
      </c>
    </row>
    <row r="8" spans="1:6">
      <c r="A8" t="s">
        <v>7</v>
      </c>
      <c r="C8">
        <f>+D4</f>
        <v>8.2929999999999993</v>
      </c>
    </row>
    <row r="9" spans="1:6">
      <c r="A9" s="27" t="s">
        <v>41</v>
      </c>
      <c r="B9" s="28">
        <v>22</v>
      </c>
      <c r="C9" s="25" t="str">
        <f>"F"&amp;B9</f>
        <v>F22</v>
      </c>
      <c r="D9" s="26" t="str">
        <f>"G"&amp;B9</f>
        <v>G22</v>
      </c>
    </row>
    <row r="10" spans="1:6" ht="13.5" thickBot="1">
      <c r="A10" s="12"/>
      <c r="B10" s="12"/>
      <c r="C10" s="4" t="s">
        <v>24</v>
      </c>
      <c r="D10" s="4" t="s">
        <v>25</v>
      </c>
      <c r="E10" s="12"/>
    </row>
    <row r="11" spans="1:6">
      <c r="A11" s="12" t="s">
        <v>20</v>
      </c>
      <c r="B11" s="12"/>
      <c r="C11" s="24">
        <f ca="1">INTERCEPT(INDIRECT($D$9):G993,INDIRECT($C$9):F993)</f>
        <v>3.5631272323030223</v>
      </c>
      <c r="D11" s="3"/>
      <c r="E11" s="12"/>
    </row>
    <row r="12" spans="1:6">
      <c r="A12" s="12" t="s">
        <v>21</v>
      </c>
      <c r="B12" s="12"/>
      <c r="C12" s="24">
        <f ca="1">SLOPE(INDIRECT($D$9):G993,INDIRECT($C$9):F993)</f>
        <v>-1.4377456383685083E-3</v>
      </c>
      <c r="D12" s="3"/>
      <c r="E12" s="12"/>
    </row>
    <row r="13" spans="1:6">
      <c r="A13" s="12" t="s">
        <v>23</v>
      </c>
      <c r="B13" s="12"/>
      <c r="C13" s="3" t="s">
        <v>18</v>
      </c>
    </row>
    <row r="14" spans="1:6">
      <c r="A14" s="12"/>
      <c r="B14" s="12"/>
      <c r="C14" s="12"/>
    </row>
    <row r="15" spans="1:6">
      <c r="A15" s="14" t="s">
        <v>22</v>
      </c>
      <c r="B15" s="12"/>
      <c r="C15" s="15">
        <f ca="1">(C7+C11)+(C8+C12)*INT(MAX(F21:F3534))</f>
        <v>57296.450913898472</v>
      </c>
      <c r="E15" s="16" t="s">
        <v>48</v>
      </c>
      <c r="F15" s="13">
        <v>1</v>
      </c>
    </row>
    <row r="16" spans="1:6">
      <c r="A16" s="18" t="s">
        <v>8</v>
      </c>
      <c r="B16" s="12"/>
      <c r="C16" s="19">
        <f ca="1">+C8+C12</f>
        <v>8.2915622543616312</v>
      </c>
      <c r="E16" s="16" t="s">
        <v>37</v>
      </c>
      <c r="F16" s="17">
        <f ca="1">NOW()+15018.5+$C$5/24</f>
        <v>60340.742422453703</v>
      </c>
    </row>
    <row r="17" spans="1:17" ht="13.5" thickBot="1">
      <c r="A17" s="16" t="s">
        <v>34</v>
      </c>
      <c r="B17" s="12"/>
      <c r="C17" s="12">
        <f>COUNT(C21:C2192)</f>
        <v>6</v>
      </c>
      <c r="E17" s="16" t="s">
        <v>49</v>
      </c>
      <c r="F17" s="17">
        <f ca="1">ROUND(2*(F16-$C$7)/$C$8,0)/2+F15</f>
        <v>3272</v>
      </c>
    </row>
    <row r="18" spans="1:17" ht="14.25" thickTop="1" thickBot="1">
      <c r="A18" s="18" t="s">
        <v>9</v>
      </c>
      <c r="B18" s="12"/>
      <c r="C18" s="21">
        <f ca="1">+C15</f>
        <v>57296.450913898472</v>
      </c>
      <c r="D18" s="22">
        <f ca="1">+C16</f>
        <v>8.2915622543616312</v>
      </c>
      <c r="E18" s="16" t="s">
        <v>38</v>
      </c>
      <c r="F18" s="26">
        <f ca="1">ROUND(2*(F16-$C$15)/$C$16,0)/2+F15</f>
        <v>368</v>
      </c>
    </row>
    <row r="19" spans="1:17" ht="13.5" thickTop="1">
      <c r="E19" s="16" t="s">
        <v>39</v>
      </c>
      <c r="F19" s="20">
        <f ca="1">+$C$15+$C$16*F18-15018.5-$C$5/24</f>
        <v>45329.641656836888</v>
      </c>
    </row>
    <row r="20" spans="1:17" ht="13.5" thickBot="1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51</v>
      </c>
      <c r="J20" s="7" t="s">
        <v>0</v>
      </c>
      <c r="K20" s="7" t="s">
        <v>2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19</v>
      </c>
    </row>
    <row r="21" spans="1:17">
      <c r="A21" t="s">
        <v>16</v>
      </c>
      <c r="C21" s="10">
        <v>33214.190999999999</v>
      </c>
      <c r="D21" s="10" t="s">
        <v>18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3.5631272323030223</v>
      </c>
      <c r="Q21" s="2">
        <f t="shared" ref="Q21:Q26" si="4">+C21-15018.5</f>
        <v>18195.690999999999</v>
      </c>
    </row>
    <row r="22" spans="1:17">
      <c r="A22" t="s">
        <v>46</v>
      </c>
      <c r="C22" s="10">
        <v>51289.18</v>
      </c>
      <c r="D22" s="10"/>
      <c r="E22">
        <f t="shared" si="0"/>
        <v>2179.5476908235864</v>
      </c>
      <c r="F22">
        <f t="shared" si="1"/>
        <v>2179.5</v>
      </c>
      <c r="G22">
        <f t="shared" si="2"/>
        <v>0.39550000000599539</v>
      </c>
      <c r="K22">
        <f>+G22</f>
        <v>0.39550000000599539</v>
      </c>
      <c r="O22">
        <f t="shared" ca="1" si="3"/>
        <v>0.42956061347885832</v>
      </c>
      <c r="Q22" s="2">
        <f t="shared" si="4"/>
        <v>36270.68</v>
      </c>
    </row>
    <row r="23" spans="1:17">
      <c r="A23" s="29" t="s">
        <v>42</v>
      </c>
      <c r="B23" s="30" t="s">
        <v>43</v>
      </c>
      <c r="C23" s="31">
        <v>54087.649400000002</v>
      </c>
      <c r="D23" s="31">
        <v>3.5999999999999999E-3</v>
      </c>
      <c r="E23">
        <f t="shared" si="0"/>
        <v>2516.9972748100813</v>
      </c>
      <c r="F23">
        <f t="shared" si="1"/>
        <v>2517</v>
      </c>
      <c r="G23">
        <f t="shared" si="2"/>
        <v>-2.2599999996600673E-2</v>
      </c>
      <c r="K23">
        <f>+G23</f>
        <v>-2.2599999996600673E-2</v>
      </c>
      <c r="O23">
        <f t="shared" ca="1" si="3"/>
        <v>-5.5678539470513044E-2</v>
      </c>
      <c r="Q23" s="2">
        <f t="shared" si="4"/>
        <v>39069.149400000002</v>
      </c>
    </row>
    <row r="24" spans="1:17">
      <c r="A24" s="33" t="s">
        <v>42</v>
      </c>
      <c r="B24" s="34" t="s">
        <v>43</v>
      </c>
      <c r="C24" s="33">
        <v>54087.649400000002</v>
      </c>
      <c r="D24" s="33">
        <v>3.5999999999999999E-3</v>
      </c>
      <c r="E24">
        <f t="shared" si="0"/>
        <v>2516.9972748100813</v>
      </c>
      <c r="F24">
        <f t="shared" si="1"/>
        <v>2517</v>
      </c>
      <c r="G24">
        <f t="shared" si="2"/>
        <v>-2.2599999996600673E-2</v>
      </c>
      <c r="K24">
        <f>+G24</f>
        <v>-2.2599999996600673E-2</v>
      </c>
      <c r="O24">
        <f t="shared" ca="1" si="3"/>
        <v>-5.5678539470513044E-2</v>
      </c>
      <c r="Q24" s="2">
        <f t="shared" si="4"/>
        <v>39069.149400000002</v>
      </c>
    </row>
    <row r="25" spans="1:17">
      <c r="A25" s="35" t="s">
        <v>47</v>
      </c>
      <c r="B25" s="36" t="s">
        <v>43</v>
      </c>
      <c r="C25" s="37">
        <v>56666.28</v>
      </c>
      <c r="D25" s="38">
        <v>3.5999999999999999E-3</v>
      </c>
      <c r="E25">
        <f t="shared" si="0"/>
        <v>2827.9378994332574</v>
      </c>
      <c r="F25">
        <f t="shared" si="1"/>
        <v>2828</v>
      </c>
      <c r="G25">
        <f t="shared" si="2"/>
        <v>-0.51499999999941792</v>
      </c>
      <c r="J25">
        <f>+G25</f>
        <v>-0.51499999999941792</v>
      </c>
      <c r="O25">
        <f t="shared" ca="1" si="3"/>
        <v>-0.50281743300311943</v>
      </c>
      <c r="Q25" s="2">
        <f t="shared" si="4"/>
        <v>41647.78</v>
      </c>
    </row>
    <row r="26" spans="1:17">
      <c r="A26" s="39" t="s">
        <v>1</v>
      </c>
      <c r="B26" s="40" t="s">
        <v>43</v>
      </c>
      <c r="C26" s="41">
        <v>57296.430999999997</v>
      </c>
      <c r="D26" s="41">
        <v>1.8E-3</v>
      </c>
      <c r="E26">
        <f t="shared" si="0"/>
        <v>2903.9237911491618</v>
      </c>
      <c r="F26">
        <f t="shared" si="1"/>
        <v>2904</v>
      </c>
      <c r="G26">
        <f t="shared" si="2"/>
        <v>-0.63199999999778811</v>
      </c>
      <c r="K26">
        <f>+G26</f>
        <v>-0.63199999999778811</v>
      </c>
      <c r="O26">
        <f t="shared" ca="1" si="3"/>
        <v>-0.61208610151912568</v>
      </c>
      <c r="Q26" s="2">
        <f t="shared" si="4"/>
        <v>42277.930999999997</v>
      </c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  <c r="Q34" s="2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  <row r="6941" spans="3:4">
      <c r="C6941" s="10"/>
      <c r="D6941" s="10"/>
    </row>
  </sheetData>
  <phoneticPr fontId="8" type="noConversion"/>
  <hyperlinks>
    <hyperlink ref="H98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D9" sqref="D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44</v>
      </c>
    </row>
    <row r="2" spans="1:7">
      <c r="A2" t="s">
        <v>28</v>
      </c>
      <c r="B2" t="s">
        <v>45</v>
      </c>
      <c r="C2" s="3"/>
      <c r="D2" s="3"/>
    </row>
    <row r="3" spans="1:7" ht="13.5" thickBot="1"/>
    <row r="4" spans="1:7" ht="14.25" thickTop="1" thickBot="1">
      <c r="A4" s="5" t="s">
        <v>4</v>
      </c>
      <c r="C4" s="8">
        <v>33214.190999999999</v>
      </c>
      <c r="D4" s="9">
        <v>8.2929999999999993</v>
      </c>
    </row>
    <row r="6" spans="1:7">
      <c r="A6" s="5" t="s">
        <v>5</v>
      </c>
    </row>
    <row r="7" spans="1:7">
      <c r="A7" t="s">
        <v>6</v>
      </c>
      <c r="C7">
        <f>+C4</f>
        <v>33214.190999999999</v>
      </c>
    </row>
    <row r="8" spans="1:7">
      <c r="A8" t="s">
        <v>7</v>
      </c>
      <c r="C8">
        <f>+D4</f>
        <v>8.2929999999999993</v>
      </c>
    </row>
    <row r="9" spans="1:7">
      <c r="A9" s="11" t="s">
        <v>35</v>
      </c>
      <c r="B9" s="12"/>
      <c r="C9" s="13">
        <v>-9.5</v>
      </c>
      <c r="D9" s="12" t="s">
        <v>36</v>
      </c>
      <c r="E9" s="12"/>
    </row>
    <row r="10" spans="1:7" ht="13.5" thickBot="1">
      <c r="A10" s="12"/>
      <c r="B10" s="12"/>
      <c r="C10" s="4" t="s">
        <v>24</v>
      </c>
      <c r="D10" s="4" t="s">
        <v>25</v>
      </c>
      <c r="E10" s="12"/>
    </row>
    <row r="11" spans="1:7">
      <c r="A11" s="12" t="s">
        <v>20</v>
      </c>
      <c r="B11" s="12"/>
      <c r="C11" s="24">
        <f ca="1">INTERCEPT(INDIRECT($G$11):G992,INDIRECT($F$11):F992)</f>
        <v>3.5631272323030223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21</v>
      </c>
      <c r="B12" s="12"/>
      <c r="C12" s="24">
        <f ca="1">SLOPE(INDIRECT($G$11):G992,INDIRECT($F$11):F992)</f>
        <v>-1.4377456383685083E-3</v>
      </c>
      <c r="D12" s="3"/>
      <c r="E12" s="12"/>
    </row>
    <row r="13" spans="1:7">
      <c r="A13" s="12" t="s">
        <v>23</v>
      </c>
      <c r="B13" s="12"/>
      <c r="C13" s="3" t="s">
        <v>18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22</v>
      </c>
      <c r="B15" s="12"/>
      <c r="C15" s="15">
        <f ca="1">(C7+C11)+(C8+C12)*INT(MAX(F21:F3533))</f>
        <v>57296.450913898472</v>
      </c>
      <c r="D15" s="16" t="s">
        <v>37</v>
      </c>
      <c r="E15" s="17">
        <f ca="1">TODAY()+15018.5-B9/24</f>
        <v>60340.5</v>
      </c>
    </row>
    <row r="16" spans="1:7">
      <c r="A16" s="18" t="s">
        <v>8</v>
      </c>
      <c r="B16" s="12"/>
      <c r="C16" s="19">
        <f ca="1">+C8+C12</f>
        <v>8.2915622543616312</v>
      </c>
      <c r="D16" s="16" t="s">
        <v>38</v>
      </c>
      <c r="E16" s="17">
        <f ca="1">ROUND(2*(E15-C15)/C16,0)/2+1</f>
        <v>368</v>
      </c>
    </row>
    <row r="17" spans="1:17" ht="13.5" thickBot="1">
      <c r="A17" s="16" t="s">
        <v>34</v>
      </c>
      <c r="B17" s="12"/>
      <c r="C17" s="12">
        <f>COUNT(C21:C2191)</f>
        <v>6</v>
      </c>
      <c r="D17" s="16" t="s">
        <v>39</v>
      </c>
      <c r="E17" s="20">
        <f ca="1">+C15+C16*E16-15018.5-C9/24</f>
        <v>45329.641656836888</v>
      </c>
    </row>
    <row r="18" spans="1:17" ht="14.25" thickTop="1" thickBot="1">
      <c r="A18" s="18" t="s">
        <v>9</v>
      </c>
      <c r="B18" s="12"/>
      <c r="C18" s="21">
        <f ca="1">+C15</f>
        <v>57296.450913898472</v>
      </c>
      <c r="D18" s="22">
        <f ca="1">+C16</f>
        <v>8.2915622543616312</v>
      </c>
      <c r="E18" s="23" t="s">
        <v>40</v>
      </c>
    </row>
    <row r="19" spans="1:17" ht="13.5" thickTop="1">
      <c r="A19" s="27" t="s">
        <v>41</v>
      </c>
      <c r="E19" s="28">
        <v>22</v>
      </c>
    </row>
    <row r="20" spans="1:17" ht="13.5" thickBot="1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16</v>
      </c>
      <c r="I20" s="7" t="s">
        <v>33</v>
      </c>
      <c r="J20" s="7" t="s">
        <v>52</v>
      </c>
      <c r="K20" s="7" t="s">
        <v>29</v>
      </c>
      <c r="L20" s="7" t="s">
        <v>30</v>
      </c>
      <c r="M20" s="7" t="s">
        <v>31</v>
      </c>
      <c r="N20" s="7" t="s">
        <v>32</v>
      </c>
      <c r="O20" s="7" t="s">
        <v>27</v>
      </c>
      <c r="P20" s="6" t="s">
        <v>26</v>
      </c>
      <c r="Q20" s="4" t="s">
        <v>19</v>
      </c>
    </row>
    <row r="21" spans="1:17">
      <c r="A21" t="s">
        <v>16</v>
      </c>
      <c r="C21" s="10">
        <v>33214.190999999999</v>
      </c>
      <c r="D21" s="10" t="s">
        <v>18</v>
      </c>
      <c r="E21" s="32">
        <f>+(C21-C$7)/C$8-0.5</f>
        <v>-0.5</v>
      </c>
      <c r="F21">
        <f t="shared" ref="F21:F26" si="0">ROUND(2*E21,0)/2</f>
        <v>-0.5</v>
      </c>
      <c r="G21">
        <f t="shared" ref="G21:G26" si="1">+C21-(C$7+F21*C$8)</f>
        <v>4.1465000000025611</v>
      </c>
      <c r="H21">
        <f>+G21</f>
        <v>4.1465000000025611</v>
      </c>
      <c r="O21">
        <f t="shared" ref="O21:O26" ca="1" si="2">+C$11+C$12*$F21</f>
        <v>3.5638461051222063</v>
      </c>
      <c r="Q21" s="2">
        <f t="shared" ref="Q21:Q26" si="3">+C21-15018.5</f>
        <v>18195.690999999999</v>
      </c>
    </row>
    <row r="22" spans="1:17">
      <c r="A22" s="29" t="s">
        <v>42</v>
      </c>
      <c r="B22" s="30" t="s">
        <v>43</v>
      </c>
      <c r="C22" s="31">
        <v>54087.649400000002</v>
      </c>
      <c r="D22" s="31">
        <v>3.5999999999999999E-3</v>
      </c>
      <c r="E22">
        <f>+(C22-C$7)/C$8</f>
        <v>2516.9972748100813</v>
      </c>
      <c r="F22">
        <f t="shared" si="0"/>
        <v>2517</v>
      </c>
      <c r="G22">
        <f t="shared" si="1"/>
        <v>-2.2599999996600673E-2</v>
      </c>
      <c r="I22">
        <f>+G22</f>
        <v>-2.2599999996600673E-2</v>
      </c>
      <c r="O22">
        <f t="shared" ca="1" si="2"/>
        <v>-5.5678539470513044E-2</v>
      </c>
      <c r="Q22" s="2">
        <f t="shared" si="3"/>
        <v>39069.149400000002</v>
      </c>
    </row>
    <row r="23" spans="1:17">
      <c r="A23" t="s">
        <v>46</v>
      </c>
      <c r="C23" s="10">
        <v>51289.18</v>
      </c>
      <c r="D23" s="10"/>
      <c r="E23">
        <f>+(C23-C$7)/C$8</f>
        <v>2179.5476908235864</v>
      </c>
      <c r="F23">
        <f t="shared" si="0"/>
        <v>2179.5</v>
      </c>
      <c r="G23">
        <f t="shared" si="1"/>
        <v>0.39550000000599539</v>
      </c>
      <c r="I23">
        <f>+G23</f>
        <v>0.39550000000599539</v>
      </c>
      <c r="O23">
        <f t="shared" ca="1" si="2"/>
        <v>0.42956061347885832</v>
      </c>
      <c r="Q23" s="2">
        <f t="shared" si="3"/>
        <v>36270.68</v>
      </c>
    </row>
    <row r="24" spans="1:17">
      <c r="A24" s="33" t="s">
        <v>42</v>
      </c>
      <c r="B24" s="34" t="s">
        <v>43</v>
      </c>
      <c r="C24" s="33">
        <v>54087.649400000002</v>
      </c>
      <c r="D24" s="33">
        <v>3.5999999999999999E-3</v>
      </c>
      <c r="E24">
        <f>+(C24-C$7)/C$8</f>
        <v>2516.9972748100813</v>
      </c>
      <c r="F24">
        <f t="shared" si="0"/>
        <v>2517</v>
      </c>
      <c r="G24">
        <f t="shared" si="1"/>
        <v>-2.2599999996600673E-2</v>
      </c>
      <c r="I24">
        <f>+G24</f>
        <v>-2.2599999996600673E-2</v>
      </c>
      <c r="O24">
        <f t="shared" ca="1" si="2"/>
        <v>-5.5678539470513044E-2</v>
      </c>
      <c r="Q24" s="2">
        <f t="shared" si="3"/>
        <v>39069.149400000002</v>
      </c>
    </row>
    <row r="25" spans="1:17">
      <c r="A25" s="35" t="s">
        <v>47</v>
      </c>
      <c r="B25" s="36" t="s">
        <v>43</v>
      </c>
      <c r="C25" s="37">
        <v>56666.28</v>
      </c>
      <c r="D25" s="38">
        <v>3.5999999999999999E-3</v>
      </c>
      <c r="E25">
        <f>+(C25-C$7)/C$8</f>
        <v>2827.9378994332574</v>
      </c>
      <c r="F25">
        <f t="shared" si="0"/>
        <v>2828</v>
      </c>
      <c r="G25">
        <f t="shared" si="1"/>
        <v>-0.51499999999941792</v>
      </c>
      <c r="I25">
        <f>+G25</f>
        <v>-0.51499999999941792</v>
      </c>
      <c r="O25">
        <f t="shared" ca="1" si="2"/>
        <v>-0.50281743300311943</v>
      </c>
      <c r="Q25" s="2">
        <f t="shared" si="3"/>
        <v>41647.78</v>
      </c>
    </row>
    <row r="26" spans="1:17">
      <c r="A26" s="39" t="s">
        <v>1</v>
      </c>
      <c r="B26" s="40" t="s">
        <v>43</v>
      </c>
      <c r="C26" s="41">
        <v>57296.430999999997</v>
      </c>
      <c r="D26" s="41">
        <v>1.8E-3</v>
      </c>
      <c r="E26">
        <f>+(C26-C$7)/C$8</f>
        <v>2903.9237911491618</v>
      </c>
      <c r="F26">
        <f t="shared" si="0"/>
        <v>2904</v>
      </c>
      <c r="G26">
        <f t="shared" si="1"/>
        <v>-0.63199999999778811</v>
      </c>
      <c r="I26">
        <f>+G26</f>
        <v>-0.63199999999778811</v>
      </c>
      <c r="O26">
        <f t="shared" ca="1" si="2"/>
        <v>-0.61208610151912568</v>
      </c>
      <c r="Q26" s="2">
        <f t="shared" si="3"/>
        <v>42277.930999999997</v>
      </c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2024-01-31T04:49:05Z</dcterms:modified>
</cp:coreProperties>
</file>