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14F457F-FB85-41CA-9C21-C038F94D86A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G11" i="2"/>
  <c r="C11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H11" i="2"/>
  <c r="B11" i="2"/>
  <c r="D11" i="2"/>
  <c r="A11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Q56" i="1"/>
  <c r="C7" i="1"/>
  <c r="E21" i="1"/>
  <c r="F21" i="1"/>
  <c r="C8" i="1"/>
  <c r="Q55" i="1"/>
  <c r="F17" i="1"/>
  <c r="C17" i="1"/>
  <c r="E12" i="2"/>
  <c r="E18" i="2"/>
  <c r="E56" i="1"/>
  <c r="F56" i="1"/>
  <c r="E47" i="1"/>
  <c r="F47" i="1"/>
  <c r="E39" i="1"/>
  <c r="F39" i="1"/>
  <c r="E31" i="1"/>
  <c r="F31" i="1"/>
  <c r="E23" i="1"/>
  <c r="F23" i="1"/>
  <c r="E52" i="1"/>
  <c r="F52" i="1"/>
  <c r="E44" i="1"/>
  <c r="F44" i="1"/>
  <c r="G38" i="1"/>
  <c r="I38" i="1"/>
  <c r="E36" i="1"/>
  <c r="F36" i="1"/>
  <c r="E28" i="1"/>
  <c r="F28" i="1"/>
  <c r="E49" i="1"/>
  <c r="F49" i="1"/>
  <c r="G49" i="1"/>
  <c r="I49" i="1"/>
  <c r="E41" i="1"/>
  <c r="E33" i="1"/>
  <c r="E54" i="1"/>
  <c r="F54" i="1"/>
  <c r="G54" i="1"/>
  <c r="H54" i="1"/>
  <c r="E46" i="1"/>
  <c r="F46" i="1"/>
  <c r="G46" i="1"/>
  <c r="I46" i="1"/>
  <c r="E38" i="1"/>
  <c r="F38" i="1"/>
  <c r="E30" i="1"/>
  <c r="F30" i="1"/>
  <c r="G30" i="1"/>
  <c r="H30" i="1"/>
  <c r="E22" i="1"/>
  <c r="F22" i="1"/>
  <c r="G22" i="1"/>
  <c r="H22" i="1"/>
  <c r="E25" i="1"/>
  <c r="G53" i="1"/>
  <c r="I53" i="1"/>
  <c r="E51" i="1"/>
  <c r="F51" i="1"/>
  <c r="G51" i="1"/>
  <c r="I51" i="1"/>
  <c r="E43" i="1"/>
  <c r="F43" i="1"/>
  <c r="G43" i="1"/>
  <c r="I43" i="1"/>
  <c r="E35" i="1"/>
  <c r="F35" i="1"/>
  <c r="G35" i="1"/>
  <c r="H35" i="1"/>
  <c r="E27" i="1"/>
  <c r="F27" i="1"/>
  <c r="G27" i="1"/>
  <c r="H27" i="1"/>
  <c r="E55" i="1"/>
  <c r="F55" i="1"/>
  <c r="G55" i="1"/>
  <c r="H55" i="1"/>
  <c r="E48" i="1"/>
  <c r="E40" i="1"/>
  <c r="E32" i="1"/>
  <c r="E24" i="1"/>
  <c r="G21" i="1"/>
  <c r="H21" i="1"/>
  <c r="G56" i="1"/>
  <c r="J56" i="1"/>
  <c r="E53" i="1"/>
  <c r="F53" i="1"/>
  <c r="G47" i="1"/>
  <c r="I47" i="1"/>
  <c r="E45" i="1"/>
  <c r="F45" i="1"/>
  <c r="G45" i="1"/>
  <c r="I45" i="1"/>
  <c r="G39" i="1"/>
  <c r="I39" i="1"/>
  <c r="E37" i="1"/>
  <c r="F37" i="1"/>
  <c r="G37" i="1"/>
  <c r="I37" i="1"/>
  <c r="G31" i="1"/>
  <c r="H31" i="1"/>
  <c r="E29" i="1"/>
  <c r="F29" i="1"/>
  <c r="G29" i="1"/>
  <c r="H29" i="1"/>
  <c r="G23" i="1"/>
  <c r="H23" i="1"/>
  <c r="G52" i="1"/>
  <c r="H52" i="1"/>
  <c r="E50" i="1"/>
  <c r="F50" i="1"/>
  <c r="G50" i="1"/>
  <c r="I50" i="1"/>
  <c r="G44" i="1"/>
  <c r="I44" i="1"/>
  <c r="E42" i="1"/>
  <c r="F42" i="1"/>
  <c r="G42" i="1"/>
  <c r="I42" i="1"/>
  <c r="G36" i="1"/>
  <c r="H36" i="1"/>
  <c r="E34" i="1"/>
  <c r="F34" i="1"/>
  <c r="G34" i="1"/>
  <c r="I34" i="1"/>
  <c r="G28" i="1"/>
  <c r="H28" i="1"/>
  <c r="E26" i="1"/>
  <c r="F26" i="1"/>
  <c r="G26" i="1"/>
  <c r="H26" i="1"/>
  <c r="E31" i="2"/>
  <c r="F40" i="1"/>
  <c r="G40" i="1"/>
  <c r="I40" i="1"/>
  <c r="E24" i="2"/>
  <c r="F33" i="1"/>
  <c r="G33" i="1"/>
  <c r="H33" i="1"/>
  <c r="E37" i="2"/>
  <c r="E21" i="2"/>
  <c r="E32" i="2"/>
  <c r="F41" i="1"/>
  <c r="G41" i="1"/>
  <c r="I41" i="1"/>
  <c r="E13" i="2"/>
  <c r="E27" i="2"/>
  <c r="E11" i="2"/>
  <c r="F48" i="1"/>
  <c r="G48" i="1"/>
  <c r="I48" i="1"/>
  <c r="E39" i="2"/>
  <c r="E33" i="2"/>
  <c r="E43" i="2"/>
  <c r="E22" i="2"/>
  <c r="E40" i="2"/>
  <c r="E29" i="2"/>
  <c r="E38" i="2"/>
  <c r="E41" i="2"/>
  <c r="E35" i="2"/>
  <c r="E19" i="2"/>
  <c r="E28" i="2"/>
  <c r="E26" i="2"/>
  <c r="E30" i="2"/>
  <c r="E15" i="2"/>
  <c r="F24" i="1"/>
  <c r="G24" i="1"/>
  <c r="H24" i="1"/>
  <c r="E16" i="2"/>
  <c r="F25" i="1"/>
  <c r="G25" i="1"/>
  <c r="H25" i="1"/>
  <c r="E14" i="2"/>
  <c r="E17" i="2"/>
  <c r="E45" i="2"/>
  <c r="F32" i="1"/>
  <c r="G32" i="1"/>
  <c r="E23" i="2"/>
  <c r="E44" i="2"/>
  <c r="E36" i="2"/>
  <c r="E34" i="2"/>
  <c r="E42" i="2"/>
  <c r="E25" i="2"/>
  <c r="E20" i="2"/>
  <c r="I32" i="1"/>
  <c r="C12" i="1"/>
  <c r="C11" i="1"/>
  <c r="O26" i="1" l="1"/>
  <c r="O45" i="1"/>
  <c r="O27" i="1"/>
  <c r="O54" i="1"/>
  <c r="O52" i="1"/>
  <c r="C15" i="1"/>
  <c r="O40" i="1"/>
  <c r="O28" i="1"/>
  <c r="O38" i="1"/>
  <c r="O34" i="1"/>
  <c r="O53" i="1"/>
  <c r="O35" i="1"/>
  <c r="O56" i="1"/>
  <c r="O23" i="1"/>
  <c r="O42" i="1"/>
  <c r="O55" i="1"/>
  <c r="O43" i="1"/>
  <c r="O33" i="1"/>
  <c r="O31" i="1"/>
  <c r="O39" i="1"/>
  <c r="O22" i="1"/>
  <c r="O47" i="1"/>
  <c r="O21" i="1"/>
  <c r="O29" i="1"/>
  <c r="O50" i="1"/>
  <c r="O24" i="1"/>
  <c r="O51" i="1"/>
  <c r="O41" i="1"/>
  <c r="O32" i="1"/>
  <c r="O49" i="1"/>
  <c r="O30" i="1"/>
  <c r="O48" i="1"/>
  <c r="O37" i="1"/>
  <c r="O25" i="1"/>
  <c r="O46" i="1"/>
  <c r="O44" i="1"/>
  <c r="O3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<sst xmlns="http://schemas.openxmlformats.org/spreadsheetml/2006/main" count="411" uniqueCount="180">
  <si>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</si>
  <si>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</si>
  <si>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</si>
  <si>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</si>
  <si>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</si>
  <si>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</si>
  <si>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</si>
  <si>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</si>
  <si>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</si>
  <si>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</si>
  <si>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</si>
  <si>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</si>
  <si>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</si>
  <si>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</si>
  <si>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</si>
  <si>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</si>
  <si>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</si>
  <si>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</si>
  <si>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</si>
  <si>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</si>
  <si>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</si>
  <si>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</si>
  <si>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</si>
  <si>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</si>
  <si>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</si>
  <si>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</si>
  <si>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</si>
  <si>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</si>
  <si>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</si>
  <si>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</si>
  <si>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</si>
  <si>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</si>
  <si>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</si>
  <si>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</si>
  <si>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</si>
  <si>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</si>
  <si>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V0729 Cyg / GSC 3161-1401               </t>
  </si>
  <si>
    <t xml:space="preserve">EB/D/GS   </t>
  </si>
  <si>
    <t>IBVS 5761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</si>
  <si>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</si>
  <si>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</si>
  <si>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</si>
  <si>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</si>
  <si>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</si>
  <si>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</si>
  <si>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</si>
  <si>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</si>
  <si>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</si>
  <si>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</si>
  <si>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</si>
  <si>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</si>
  <si>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2413461.43 </t>
  </si>
  <si>
    <t> 24.09.1895 22:19 </t>
  </si>
  <si>
    <t> -0.39 </t>
  </si>
  <si>
    <t>P </t>
  </si>
  <si>
    <t> N.E.Kurochkin </t>
  </si>
  <si>
    <t> PZ 22.222 </t>
  </si>
  <si>
    <t>2414228.269 </t>
  </si>
  <si>
    <t> 30.10.1897 18:27 </t>
  </si>
  <si>
    <t> 1.107 </t>
  </si>
  <si>
    <t> B.Sazonov </t>
  </si>
  <si>
    <t> PZ 13.446 </t>
  </si>
  <si>
    <t>2414431.40 </t>
  </si>
  <si>
    <t> 21.05.1898 21:36 </t>
  </si>
  <si>
    <t> -0.29 </t>
  </si>
  <si>
    <t>2414629.22 </t>
  </si>
  <si>
    <t> 05.12.1898 17:16 </t>
  </si>
  <si>
    <t> -0.41 </t>
  </si>
  <si>
    <t>2415257.350 </t>
  </si>
  <si>
    <t> 25.08.1900 20:24 </t>
  </si>
  <si>
    <t> 0.933 </t>
  </si>
  <si>
    <t>2428722.40 </t>
  </si>
  <si>
    <t> 07.07.1937 21:36 </t>
  </si>
  <si>
    <t> -0.11 </t>
  </si>
  <si>
    <t>2428749.154 </t>
  </si>
  <si>
    <t> 03.08.1937 15:41 </t>
  </si>
  <si>
    <t> 0.253 </t>
  </si>
  <si>
    <t> PZ 13.445 </t>
  </si>
  <si>
    <t>2428755.36 </t>
  </si>
  <si>
    <t> 09.08.1937 20:38 </t>
  </si>
  <si>
    <t> -0.14 </t>
  </si>
  <si>
    <t>2429118.34 </t>
  </si>
  <si>
    <t> 07.08.1938 20:09 </t>
  </si>
  <si>
    <t> -0.04 </t>
  </si>
  <si>
    <t>2429461.40 </t>
  </si>
  <si>
    <t> 16.07.1939 21:36 </t>
  </si>
  <si>
    <t> -0.06 </t>
  </si>
  <si>
    <t>2429553.985 </t>
  </si>
  <si>
    <t> 17.10.1939 11:38 </t>
  </si>
  <si>
    <t> 0.154 </t>
  </si>
  <si>
    <t>2432747.167 </t>
  </si>
  <si>
    <t> 14.07.1948 16:00 </t>
  </si>
  <si>
    <t> 0.005 </t>
  </si>
  <si>
    <t> Wilson &amp; Abt </t>
  </si>
  <si>
    <t> APJ 114.477 </t>
  </si>
  <si>
    <t>2433954.36 </t>
  </si>
  <si>
    <t> 03.11.1951 20:38 </t>
  </si>
  <si>
    <t> -0.20 </t>
  </si>
  <si>
    <t>2434218.463 </t>
  </si>
  <si>
    <t> 24.07.1952 23:06 </t>
  </si>
  <si>
    <t> -0.007 </t>
  </si>
  <si>
    <t>E </t>
  </si>
  <si>
    <t>?</t>
  </si>
  <si>
    <t> G.R.Miczaika </t>
  </si>
  <si>
    <t> PASP 65.141 </t>
  </si>
  <si>
    <t>2434264.849 </t>
  </si>
  <si>
    <t> 09.09.1952 08:22 </t>
  </si>
  <si>
    <t> 0.195 </t>
  </si>
  <si>
    <t>2435333.45 </t>
  </si>
  <si>
    <t> 13.08.1955 22:48 </t>
  </si>
  <si>
    <t> -0.05 </t>
  </si>
  <si>
    <t>2437253.21 </t>
  </si>
  <si>
    <t> 14.11.1960 17:02 </t>
  </si>
  <si>
    <t> -0.24 </t>
  </si>
  <si>
    <t> G.Romano </t>
  </si>
  <si>
    <t> MSAI 40.398 </t>
  </si>
  <si>
    <t>2437253.276 </t>
  </si>
  <si>
    <t> 14.11.1960 18:37 </t>
  </si>
  <si>
    <t> -0.178 </t>
  </si>
  <si>
    <t> K.Häussler </t>
  </si>
  <si>
    <t> HABZ 23 </t>
  </si>
  <si>
    <t>2437464.48 </t>
  </si>
  <si>
    <t> 13.06.1961 23:31 </t>
  </si>
  <si>
    <t> -0.10 </t>
  </si>
  <si>
    <t>2437497.52 </t>
  </si>
  <si>
    <t> 17.07.1961 00:28 </t>
  </si>
  <si>
    <t>2437517.42 </t>
  </si>
  <si>
    <t> 05.08.1961 22:04 </t>
  </si>
  <si>
    <t> 0.05 </t>
  </si>
  <si>
    <t>2437530.48 </t>
  </si>
  <si>
    <t> 18.08.1961 23:31 </t>
  </si>
  <si>
    <t> -0.08 </t>
  </si>
  <si>
    <t>2437550.46 </t>
  </si>
  <si>
    <t> 07.09.1961 23:02 </t>
  </si>
  <si>
    <t> 0.11 </t>
  </si>
  <si>
    <t>2437563.53 </t>
  </si>
  <si>
    <t> 21.09.1961 00:43 </t>
  </si>
  <si>
    <t> -0.02 </t>
  </si>
  <si>
    <t>2437583.35 </t>
  </si>
  <si>
    <t> 10.10.1961 20:24 </t>
  </si>
  <si>
    <t> 0.01 </t>
  </si>
  <si>
    <t>2437583.369 </t>
  </si>
  <si>
    <t> 10.10.1961 20:51 </t>
  </si>
  <si>
    <t> 0.026 </t>
  </si>
  <si>
    <t>2437853.55 </t>
  </si>
  <si>
    <t> 08.07.1962 01:12 </t>
  </si>
  <si>
    <t> -0.30 </t>
  </si>
  <si>
    <t>2437959.387 </t>
  </si>
  <si>
    <t> 21.10.1962 21:17 </t>
  </si>
  <si>
    <t> -0.031 </t>
  </si>
  <si>
    <t>2438256.520 </t>
  </si>
  <si>
    <t> 15.08.1963 00:28 </t>
  </si>
  <si>
    <t> 0.202 </t>
  </si>
  <si>
    <t>2438289.327 </t>
  </si>
  <si>
    <t> 16.09.1963 19:50 </t>
  </si>
  <si>
    <t> 0.020 </t>
  </si>
  <si>
    <t>2438322.265 </t>
  </si>
  <si>
    <t> 19.10.1963 18:21 </t>
  </si>
  <si>
    <t>2438731.29 </t>
  </si>
  <si>
    <t> 01.12.1964 18:57 </t>
  </si>
  <si>
    <t> -0.07 </t>
  </si>
  <si>
    <t>2440413.796 </t>
  </si>
  <si>
    <t> 11.07.1969 07:06 </t>
  </si>
  <si>
    <t> 0.000 </t>
  </si>
  <si>
    <t> D.S.Hall </t>
  </si>
  <si>
    <t> AA 24.73 </t>
  </si>
  <si>
    <t>2443026.53 </t>
  </si>
  <si>
    <t> 05.09.1976 00:43 </t>
  </si>
  <si>
    <t>2453985.4928 </t>
  </si>
  <si>
    <t> 06.09.2006 23:49 </t>
  </si>
  <si>
    <t> 0.0397 </t>
  </si>
  <si>
    <t>C </t>
  </si>
  <si>
    <t>o</t>
  </si>
  <si>
    <t> H. Jungbluth </t>
  </si>
  <si>
    <t>BAVM 183 </t>
  </si>
  <si>
    <t xml:space="preserve"> esvb</t>
  </si>
  <si>
    <t>24/09/1895</t>
  </si>
  <si>
    <t>30/10/1897</t>
  </si>
  <si>
    <t>21/05/1898</t>
  </si>
  <si>
    <t>05/12/1898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</si>
</sst>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V0729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-5917</c:v>
                </c:pt>
                <c:pt idx="1">
                  <c:v>-5801</c:v>
                </c:pt>
                <c:pt idx="2">
                  <c:v>-5770</c:v>
                </c:pt>
                <c:pt idx="3">
                  <c:v>-5740</c:v>
                </c:pt>
                <c:pt idx="4">
                  <c:v>-5645</c:v>
                </c:pt>
                <c:pt idx="5">
                  <c:v>-3604</c:v>
                </c:pt>
                <c:pt idx="6">
                  <c:v>-3600</c:v>
                </c:pt>
                <c:pt idx="7">
                  <c:v>-3599</c:v>
                </c:pt>
                <c:pt idx="8">
                  <c:v>-3544</c:v>
                </c:pt>
                <c:pt idx="9">
                  <c:v>-3492</c:v>
                </c:pt>
                <c:pt idx="10">
                  <c:v>-3478</c:v>
                </c:pt>
                <c:pt idx="11">
                  <c:v>-2994</c:v>
                </c:pt>
                <c:pt idx="12">
                  <c:v>-2811</c:v>
                </c:pt>
                <c:pt idx="13">
                  <c:v>-2771</c:v>
                </c:pt>
                <c:pt idx="14">
                  <c:v>-2764</c:v>
                </c:pt>
                <c:pt idx="15">
                  <c:v>-2602</c:v>
                </c:pt>
                <c:pt idx="16">
                  <c:v>-2311</c:v>
                </c:pt>
                <c:pt idx="17">
                  <c:v>-2311</c:v>
                </c:pt>
                <c:pt idx="18">
                  <c:v>-2279</c:v>
                </c:pt>
                <c:pt idx="19">
                  <c:v>-2274</c:v>
                </c:pt>
                <c:pt idx="20">
                  <c:v>-2271</c:v>
                </c:pt>
                <c:pt idx="21">
                  <c:v>-2269</c:v>
                </c:pt>
                <c:pt idx="22">
                  <c:v>-2266</c:v>
                </c:pt>
                <c:pt idx="23">
                  <c:v>-2264</c:v>
                </c:pt>
                <c:pt idx="24">
                  <c:v>-2261</c:v>
                </c:pt>
                <c:pt idx="25">
                  <c:v>-2261</c:v>
                </c:pt>
                <c:pt idx="26">
                  <c:v>-2220</c:v>
                </c:pt>
                <c:pt idx="27">
                  <c:v>-2204</c:v>
                </c:pt>
                <c:pt idx="28">
                  <c:v>-2159</c:v>
                </c:pt>
                <c:pt idx="29">
                  <c:v>-2154</c:v>
                </c:pt>
                <c:pt idx="30">
                  <c:v>-2149</c:v>
                </c:pt>
                <c:pt idx="31">
                  <c:v>-2087</c:v>
                </c:pt>
                <c:pt idx="32">
                  <c:v>-1832</c:v>
                </c:pt>
                <c:pt idx="33">
                  <c:v>-1436</c:v>
                </c:pt>
                <c:pt idx="34">
                  <c:v>0</c:v>
                </c:pt>
                <c:pt idx="35">
                  <c:v>225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-0.42740000000048894</c:v>
                </c:pt>
                <c:pt idx="1">
                  <c:v>1.0668000000005122</c:v>
                </c:pt>
                <c:pt idx="2">
                  <c:v>-0.33399999999710417</c:v>
                </c:pt>
                <c:pt idx="3">
                  <c:v>-0.44799999999850115</c:v>
                </c:pt>
                <c:pt idx="4">
                  <c:v>0.89099999999780266</c:v>
                </c:pt>
                <c:pt idx="5">
                  <c:v>-0.16879999999946449</c:v>
                </c:pt>
                <c:pt idx="6">
                  <c:v>0.19399999999950523</c:v>
                </c:pt>
                <c:pt idx="7">
                  <c:v>-0.19779999999809661</c:v>
                </c:pt>
                <c:pt idx="8">
                  <c:v>-9.6799999999348074E-2</c:v>
                </c:pt>
                <c:pt idx="9">
                  <c:v>-0.12239999999655993</c:v>
                </c:pt>
                <c:pt idx="10">
                  <c:v>9.3400000001565786E-2</c:v>
                </c:pt>
                <c:pt idx="12">
                  <c:v>-0.26419999999779975</c:v>
                </c:pt>
                <c:pt idx="14">
                  <c:v>0.12820000000647269</c:v>
                </c:pt>
                <c:pt idx="15">
                  <c:v>-0.11440000000584405</c:v>
                </c:pt>
                <c:pt idx="31">
                  <c:v>-0.14140000000043074</c:v>
                </c:pt>
                <c:pt idx="33">
                  <c:v>-6.9199999998090789E-2</c:v>
                </c:pt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D6-4287-BFDF-D0A169535F5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-5917</c:v>
                </c:pt>
                <c:pt idx="1">
                  <c:v>-5801</c:v>
                </c:pt>
                <c:pt idx="2">
                  <c:v>-5770</c:v>
                </c:pt>
                <c:pt idx="3">
                  <c:v>-5740</c:v>
                </c:pt>
                <c:pt idx="4">
                  <c:v>-5645</c:v>
                </c:pt>
                <c:pt idx="5">
                  <c:v>-3604</c:v>
                </c:pt>
                <c:pt idx="6">
                  <c:v>-3600</c:v>
                </c:pt>
                <c:pt idx="7">
                  <c:v>-3599</c:v>
                </c:pt>
                <c:pt idx="8">
                  <c:v>-3544</c:v>
                </c:pt>
                <c:pt idx="9">
                  <c:v>-3492</c:v>
                </c:pt>
                <c:pt idx="10">
                  <c:v>-3478</c:v>
                </c:pt>
                <c:pt idx="11">
                  <c:v>-2994</c:v>
                </c:pt>
                <c:pt idx="12">
                  <c:v>-2811</c:v>
                </c:pt>
                <c:pt idx="13">
                  <c:v>-2771</c:v>
                </c:pt>
                <c:pt idx="14">
                  <c:v>-2764</c:v>
                </c:pt>
                <c:pt idx="15">
                  <c:v>-2602</c:v>
                </c:pt>
                <c:pt idx="16">
                  <c:v>-2311</c:v>
                </c:pt>
                <c:pt idx="17">
                  <c:v>-2311</c:v>
                </c:pt>
                <c:pt idx="18">
                  <c:v>-2279</c:v>
                </c:pt>
                <c:pt idx="19">
                  <c:v>-2274</c:v>
                </c:pt>
                <c:pt idx="20">
                  <c:v>-2271</c:v>
                </c:pt>
                <c:pt idx="21">
                  <c:v>-2269</c:v>
                </c:pt>
                <c:pt idx="22">
                  <c:v>-2266</c:v>
                </c:pt>
                <c:pt idx="23">
                  <c:v>-2264</c:v>
                </c:pt>
                <c:pt idx="24">
                  <c:v>-2261</c:v>
                </c:pt>
                <c:pt idx="25">
                  <c:v>-2261</c:v>
                </c:pt>
                <c:pt idx="26">
                  <c:v>-2220</c:v>
                </c:pt>
                <c:pt idx="27">
                  <c:v>-2204</c:v>
                </c:pt>
                <c:pt idx="28">
                  <c:v>-2159</c:v>
                </c:pt>
                <c:pt idx="29">
                  <c:v>-2154</c:v>
                </c:pt>
                <c:pt idx="30">
                  <c:v>-2149</c:v>
                </c:pt>
                <c:pt idx="31">
                  <c:v>-2087</c:v>
                </c:pt>
                <c:pt idx="32">
                  <c:v>-1832</c:v>
                </c:pt>
                <c:pt idx="33">
                  <c:v>-1436</c:v>
                </c:pt>
                <c:pt idx="34">
                  <c:v>0</c:v>
                </c:pt>
                <c:pt idx="35">
                  <c:v>225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1">
                  <c:v>-5.979999999908614E-2</c:v>
                </c:pt>
                <c:pt idx="13">
                  <c:v>-7.3199999998905696E-2</c:v>
                </c:pt>
                <c:pt idx="16">
                  <c:v>-0.31420000000071013</c:v>
                </c:pt>
                <c:pt idx="17">
                  <c:v>-0.24820000000181608</c:v>
                </c:pt>
                <c:pt idx="18">
                  <c:v>-0.17379999999684514</c:v>
                </c:pt>
                <c:pt idx="19">
                  <c:v>-0.12280000000464497</c:v>
                </c:pt>
                <c:pt idx="20">
                  <c:v>-1.6199999998207204E-2</c:v>
                </c:pt>
                <c:pt idx="21">
                  <c:v>-0.15179999999963911</c:v>
                </c:pt>
                <c:pt idx="22">
                  <c:v>3.4800000001268927E-2</c:v>
                </c:pt>
                <c:pt idx="23">
                  <c:v>-9.0800000005401671E-2</c:v>
                </c:pt>
                <c:pt idx="24">
                  <c:v>-6.4200000000710133E-2</c:v>
                </c:pt>
                <c:pt idx="25">
                  <c:v>-4.5200000000477303E-2</c:v>
                </c:pt>
                <c:pt idx="26">
                  <c:v>-0.37399999999615829</c:v>
                </c:pt>
                <c:pt idx="27">
                  <c:v>-0.10179999999672873</c:v>
                </c:pt>
                <c:pt idx="28">
                  <c:v>0.13019999999232823</c:v>
                </c:pt>
                <c:pt idx="29">
                  <c:v>-5.1800000001094304E-2</c:v>
                </c:pt>
                <c:pt idx="30">
                  <c:v>-0.10280000000057044</c:v>
                </c:pt>
                <c:pt idx="32">
                  <c:v>-7.4399999997694977E-2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D6-4287-BFDF-D0A169535F5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-5917</c:v>
                </c:pt>
                <c:pt idx="1">
                  <c:v>-5801</c:v>
                </c:pt>
                <c:pt idx="2">
                  <c:v>-5770</c:v>
                </c:pt>
                <c:pt idx="3">
                  <c:v>-5740</c:v>
                </c:pt>
                <c:pt idx="4">
                  <c:v>-5645</c:v>
                </c:pt>
                <c:pt idx="5">
                  <c:v>-3604</c:v>
                </c:pt>
                <c:pt idx="6">
                  <c:v>-3600</c:v>
                </c:pt>
                <c:pt idx="7">
                  <c:v>-3599</c:v>
                </c:pt>
                <c:pt idx="8">
                  <c:v>-3544</c:v>
                </c:pt>
                <c:pt idx="9">
                  <c:v>-3492</c:v>
                </c:pt>
                <c:pt idx="10">
                  <c:v>-3478</c:v>
                </c:pt>
                <c:pt idx="11">
                  <c:v>-2994</c:v>
                </c:pt>
                <c:pt idx="12">
                  <c:v>-2811</c:v>
                </c:pt>
                <c:pt idx="13">
                  <c:v>-2771</c:v>
                </c:pt>
                <c:pt idx="14">
                  <c:v>-2764</c:v>
                </c:pt>
                <c:pt idx="15">
                  <c:v>-2602</c:v>
                </c:pt>
                <c:pt idx="16">
                  <c:v>-2311</c:v>
                </c:pt>
                <c:pt idx="17">
                  <c:v>-2311</c:v>
                </c:pt>
                <c:pt idx="18">
                  <c:v>-2279</c:v>
                </c:pt>
                <c:pt idx="19">
                  <c:v>-2274</c:v>
                </c:pt>
                <c:pt idx="20">
                  <c:v>-2271</c:v>
                </c:pt>
                <c:pt idx="21">
                  <c:v>-2269</c:v>
                </c:pt>
                <c:pt idx="22">
                  <c:v>-2266</c:v>
                </c:pt>
                <c:pt idx="23">
                  <c:v>-2264</c:v>
                </c:pt>
                <c:pt idx="24">
                  <c:v>-2261</c:v>
                </c:pt>
                <c:pt idx="25">
                  <c:v>-2261</c:v>
                </c:pt>
                <c:pt idx="26">
                  <c:v>-2220</c:v>
                </c:pt>
                <c:pt idx="27">
                  <c:v>-2204</c:v>
                </c:pt>
                <c:pt idx="28">
                  <c:v>-2159</c:v>
                </c:pt>
                <c:pt idx="29">
                  <c:v>-2154</c:v>
                </c:pt>
                <c:pt idx="30">
                  <c:v>-2149</c:v>
                </c:pt>
                <c:pt idx="31">
                  <c:v>-2087</c:v>
                </c:pt>
                <c:pt idx="32">
                  <c:v>-1832</c:v>
                </c:pt>
                <c:pt idx="33">
                  <c:v>-1436</c:v>
                </c:pt>
                <c:pt idx="34">
                  <c:v>0</c:v>
                </c:pt>
                <c:pt idx="35">
                  <c:v>225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5">
                  <c:v>-5.2199999998265412E-2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D6-4287-BFDF-D0A169535F5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-5917</c:v>
                </c:pt>
                <c:pt idx="1">
                  <c:v>-5801</c:v>
                </c:pt>
                <c:pt idx="2">
                  <c:v>-5770</c:v>
                </c:pt>
                <c:pt idx="3">
                  <c:v>-5740</c:v>
                </c:pt>
                <c:pt idx="4">
                  <c:v>-5645</c:v>
                </c:pt>
                <c:pt idx="5">
                  <c:v>-3604</c:v>
                </c:pt>
                <c:pt idx="6">
                  <c:v>-3600</c:v>
                </c:pt>
                <c:pt idx="7">
                  <c:v>-3599</c:v>
                </c:pt>
                <c:pt idx="8">
                  <c:v>-3544</c:v>
                </c:pt>
                <c:pt idx="9">
                  <c:v>-3492</c:v>
                </c:pt>
                <c:pt idx="10">
                  <c:v>-3478</c:v>
                </c:pt>
                <c:pt idx="11">
                  <c:v>-2994</c:v>
                </c:pt>
                <c:pt idx="12">
                  <c:v>-2811</c:v>
                </c:pt>
                <c:pt idx="13">
                  <c:v>-2771</c:v>
                </c:pt>
                <c:pt idx="14">
                  <c:v>-2764</c:v>
                </c:pt>
                <c:pt idx="15">
                  <c:v>-2602</c:v>
                </c:pt>
                <c:pt idx="16">
                  <c:v>-2311</c:v>
                </c:pt>
                <c:pt idx="17">
                  <c:v>-2311</c:v>
                </c:pt>
                <c:pt idx="18">
                  <c:v>-2279</c:v>
                </c:pt>
                <c:pt idx="19">
                  <c:v>-2274</c:v>
                </c:pt>
                <c:pt idx="20">
                  <c:v>-2271</c:v>
                </c:pt>
                <c:pt idx="21">
                  <c:v>-2269</c:v>
                </c:pt>
                <c:pt idx="22">
                  <c:v>-2266</c:v>
                </c:pt>
                <c:pt idx="23">
                  <c:v>-2264</c:v>
                </c:pt>
                <c:pt idx="24">
                  <c:v>-2261</c:v>
                </c:pt>
                <c:pt idx="25">
                  <c:v>-2261</c:v>
                </c:pt>
                <c:pt idx="26">
                  <c:v>-2220</c:v>
                </c:pt>
                <c:pt idx="27">
                  <c:v>-2204</c:v>
                </c:pt>
                <c:pt idx="28">
                  <c:v>-2159</c:v>
                </c:pt>
                <c:pt idx="29">
                  <c:v>-2154</c:v>
                </c:pt>
                <c:pt idx="30">
                  <c:v>-2149</c:v>
                </c:pt>
                <c:pt idx="31">
                  <c:v>-2087</c:v>
                </c:pt>
                <c:pt idx="32">
                  <c:v>-1832</c:v>
                </c:pt>
                <c:pt idx="33">
                  <c:v>-1436</c:v>
                </c:pt>
                <c:pt idx="34">
                  <c:v>0</c:v>
                </c:pt>
                <c:pt idx="35">
                  <c:v>225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D6-4287-BFDF-D0A169535F5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-5917</c:v>
                </c:pt>
                <c:pt idx="1">
                  <c:v>-5801</c:v>
                </c:pt>
                <c:pt idx="2">
                  <c:v>-5770</c:v>
                </c:pt>
                <c:pt idx="3">
                  <c:v>-5740</c:v>
                </c:pt>
                <c:pt idx="4">
                  <c:v>-5645</c:v>
                </c:pt>
                <c:pt idx="5">
                  <c:v>-3604</c:v>
                </c:pt>
                <c:pt idx="6">
                  <c:v>-3600</c:v>
                </c:pt>
                <c:pt idx="7">
                  <c:v>-3599</c:v>
                </c:pt>
                <c:pt idx="8">
                  <c:v>-3544</c:v>
                </c:pt>
                <c:pt idx="9">
                  <c:v>-3492</c:v>
                </c:pt>
                <c:pt idx="10">
                  <c:v>-3478</c:v>
                </c:pt>
                <c:pt idx="11">
                  <c:v>-2994</c:v>
                </c:pt>
                <c:pt idx="12">
                  <c:v>-2811</c:v>
                </c:pt>
                <c:pt idx="13">
                  <c:v>-2771</c:v>
                </c:pt>
                <c:pt idx="14">
                  <c:v>-2764</c:v>
                </c:pt>
                <c:pt idx="15">
                  <c:v>-2602</c:v>
                </c:pt>
                <c:pt idx="16">
                  <c:v>-2311</c:v>
                </c:pt>
                <c:pt idx="17">
                  <c:v>-2311</c:v>
                </c:pt>
                <c:pt idx="18">
                  <c:v>-2279</c:v>
                </c:pt>
                <c:pt idx="19">
                  <c:v>-2274</c:v>
                </c:pt>
                <c:pt idx="20">
                  <c:v>-2271</c:v>
                </c:pt>
                <c:pt idx="21">
                  <c:v>-2269</c:v>
                </c:pt>
                <c:pt idx="22">
                  <c:v>-2266</c:v>
                </c:pt>
                <c:pt idx="23">
                  <c:v>-2264</c:v>
                </c:pt>
                <c:pt idx="24">
                  <c:v>-2261</c:v>
                </c:pt>
                <c:pt idx="25">
                  <c:v>-2261</c:v>
                </c:pt>
                <c:pt idx="26">
                  <c:v>-2220</c:v>
                </c:pt>
                <c:pt idx="27">
                  <c:v>-2204</c:v>
                </c:pt>
                <c:pt idx="28">
                  <c:v>-2159</c:v>
                </c:pt>
                <c:pt idx="29">
                  <c:v>-2154</c:v>
                </c:pt>
                <c:pt idx="30">
                  <c:v>-2149</c:v>
                </c:pt>
                <c:pt idx="31">
                  <c:v>-2087</c:v>
                </c:pt>
                <c:pt idx="32">
                  <c:v>-1832</c:v>
                </c:pt>
                <c:pt idx="33">
                  <c:v>-1436</c:v>
                </c:pt>
                <c:pt idx="34">
                  <c:v>0</c:v>
                </c:pt>
                <c:pt idx="35">
                  <c:v>225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D6-4287-BFDF-D0A169535F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-5917</c:v>
                </c:pt>
                <c:pt idx="1">
                  <c:v>-5801</c:v>
                </c:pt>
                <c:pt idx="2">
                  <c:v>-5770</c:v>
                </c:pt>
                <c:pt idx="3">
                  <c:v>-5740</c:v>
                </c:pt>
                <c:pt idx="4">
                  <c:v>-5645</c:v>
                </c:pt>
                <c:pt idx="5">
                  <c:v>-3604</c:v>
                </c:pt>
                <c:pt idx="6">
                  <c:v>-3600</c:v>
                </c:pt>
                <c:pt idx="7">
                  <c:v>-3599</c:v>
                </c:pt>
                <c:pt idx="8">
                  <c:v>-3544</c:v>
                </c:pt>
                <c:pt idx="9">
                  <c:v>-3492</c:v>
                </c:pt>
                <c:pt idx="10">
                  <c:v>-3478</c:v>
                </c:pt>
                <c:pt idx="11">
                  <c:v>-2994</c:v>
                </c:pt>
                <c:pt idx="12">
                  <c:v>-2811</c:v>
                </c:pt>
                <c:pt idx="13">
                  <c:v>-2771</c:v>
                </c:pt>
                <c:pt idx="14">
                  <c:v>-2764</c:v>
                </c:pt>
                <c:pt idx="15">
                  <c:v>-2602</c:v>
                </c:pt>
                <c:pt idx="16">
                  <c:v>-2311</c:v>
                </c:pt>
                <c:pt idx="17">
                  <c:v>-2311</c:v>
                </c:pt>
                <c:pt idx="18">
                  <c:v>-2279</c:v>
                </c:pt>
                <c:pt idx="19">
                  <c:v>-2274</c:v>
                </c:pt>
                <c:pt idx="20">
                  <c:v>-2271</c:v>
                </c:pt>
                <c:pt idx="21">
                  <c:v>-2269</c:v>
                </c:pt>
                <c:pt idx="22">
                  <c:v>-2266</c:v>
                </c:pt>
                <c:pt idx="23">
                  <c:v>-2264</c:v>
                </c:pt>
                <c:pt idx="24">
                  <c:v>-2261</c:v>
                </c:pt>
                <c:pt idx="25">
                  <c:v>-2261</c:v>
                </c:pt>
                <c:pt idx="26">
                  <c:v>-2220</c:v>
                </c:pt>
                <c:pt idx="27">
                  <c:v>-2204</c:v>
                </c:pt>
                <c:pt idx="28">
                  <c:v>-2159</c:v>
                </c:pt>
                <c:pt idx="29">
                  <c:v>-2154</c:v>
                </c:pt>
                <c:pt idx="30">
                  <c:v>-2149</c:v>
                </c:pt>
                <c:pt idx="31">
                  <c:v>-2087</c:v>
                </c:pt>
                <c:pt idx="32">
                  <c:v>-1832</c:v>
                </c:pt>
                <c:pt idx="33">
                  <c:v>-1436</c:v>
                </c:pt>
                <c:pt idx="34">
                  <c:v>0</c:v>
                </c:pt>
                <c:pt idx="35">
                  <c:v>225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D6-4287-BFDF-D0A169535F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5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-5917</c:v>
                </c:pt>
                <c:pt idx="1">
                  <c:v>-5801</c:v>
                </c:pt>
                <c:pt idx="2">
                  <c:v>-5770</c:v>
                </c:pt>
                <c:pt idx="3">
                  <c:v>-5740</c:v>
                </c:pt>
                <c:pt idx="4">
                  <c:v>-5645</c:v>
                </c:pt>
                <c:pt idx="5">
                  <c:v>-3604</c:v>
                </c:pt>
                <c:pt idx="6">
                  <c:v>-3600</c:v>
                </c:pt>
                <c:pt idx="7">
                  <c:v>-3599</c:v>
                </c:pt>
                <c:pt idx="8">
                  <c:v>-3544</c:v>
                </c:pt>
                <c:pt idx="9">
                  <c:v>-3492</c:v>
                </c:pt>
                <c:pt idx="10">
                  <c:v>-3478</c:v>
                </c:pt>
                <c:pt idx="11">
                  <c:v>-2994</c:v>
                </c:pt>
                <c:pt idx="12">
                  <c:v>-2811</c:v>
                </c:pt>
                <c:pt idx="13">
                  <c:v>-2771</c:v>
                </c:pt>
                <c:pt idx="14">
                  <c:v>-2764</c:v>
                </c:pt>
                <c:pt idx="15">
                  <c:v>-2602</c:v>
                </c:pt>
                <c:pt idx="16">
                  <c:v>-2311</c:v>
                </c:pt>
                <c:pt idx="17">
                  <c:v>-2311</c:v>
                </c:pt>
                <c:pt idx="18">
                  <c:v>-2279</c:v>
                </c:pt>
                <c:pt idx="19">
                  <c:v>-2274</c:v>
                </c:pt>
                <c:pt idx="20">
                  <c:v>-2271</c:v>
                </c:pt>
                <c:pt idx="21">
                  <c:v>-2269</c:v>
                </c:pt>
                <c:pt idx="22">
                  <c:v>-2266</c:v>
                </c:pt>
                <c:pt idx="23">
                  <c:v>-2264</c:v>
                </c:pt>
                <c:pt idx="24">
                  <c:v>-2261</c:v>
                </c:pt>
                <c:pt idx="25">
                  <c:v>-2261</c:v>
                </c:pt>
                <c:pt idx="26">
                  <c:v>-2220</c:v>
                </c:pt>
                <c:pt idx="27">
                  <c:v>-2204</c:v>
                </c:pt>
                <c:pt idx="28">
                  <c:v>-2159</c:v>
                </c:pt>
                <c:pt idx="29">
                  <c:v>-2154</c:v>
                </c:pt>
                <c:pt idx="30">
                  <c:v>-2149</c:v>
                </c:pt>
                <c:pt idx="31">
                  <c:v>-2087</c:v>
                </c:pt>
                <c:pt idx="32">
                  <c:v>-1832</c:v>
                </c:pt>
                <c:pt idx="33">
                  <c:v>-1436</c:v>
                </c:pt>
                <c:pt idx="34">
                  <c:v>0</c:v>
                </c:pt>
                <c:pt idx="35">
                  <c:v>225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D6-4287-BFDF-D0A169535F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-5917</c:v>
                </c:pt>
                <c:pt idx="1">
                  <c:v>-5801</c:v>
                </c:pt>
                <c:pt idx="2">
                  <c:v>-5770</c:v>
                </c:pt>
                <c:pt idx="3">
                  <c:v>-5740</c:v>
                </c:pt>
                <c:pt idx="4">
                  <c:v>-5645</c:v>
                </c:pt>
                <c:pt idx="5">
                  <c:v>-3604</c:v>
                </c:pt>
                <c:pt idx="6">
                  <c:v>-3600</c:v>
                </c:pt>
                <c:pt idx="7">
                  <c:v>-3599</c:v>
                </c:pt>
                <c:pt idx="8">
                  <c:v>-3544</c:v>
                </c:pt>
                <c:pt idx="9">
                  <c:v>-3492</c:v>
                </c:pt>
                <c:pt idx="10">
                  <c:v>-3478</c:v>
                </c:pt>
                <c:pt idx="11">
                  <c:v>-2994</c:v>
                </c:pt>
                <c:pt idx="12">
                  <c:v>-2811</c:v>
                </c:pt>
                <c:pt idx="13">
                  <c:v>-2771</c:v>
                </c:pt>
                <c:pt idx="14">
                  <c:v>-2764</c:v>
                </c:pt>
                <c:pt idx="15">
                  <c:v>-2602</c:v>
                </c:pt>
                <c:pt idx="16">
                  <c:v>-2311</c:v>
                </c:pt>
                <c:pt idx="17">
                  <c:v>-2311</c:v>
                </c:pt>
                <c:pt idx="18">
                  <c:v>-2279</c:v>
                </c:pt>
                <c:pt idx="19">
                  <c:v>-2274</c:v>
                </c:pt>
                <c:pt idx="20">
                  <c:v>-2271</c:v>
                </c:pt>
                <c:pt idx="21">
                  <c:v>-2269</c:v>
                </c:pt>
                <c:pt idx="22">
                  <c:v>-2266</c:v>
                </c:pt>
                <c:pt idx="23">
                  <c:v>-2264</c:v>
                </c:pt>
                <c:pt idx="24">
                  <c:v>-2261</c:v>
                </c:pt>
                <c:pt idx="25">
                  <c:v>-2261</c:v>
                </c:pt>
                <c:pt idx="26">
                  <c:v>-2220</c:v>
                </c:pt>
                <c:pt idx="27">
                  <c:v>-2204</c:v>
                </c:pt>
                <c:pt idx="28">
                  <c:v>-2159</c:v>
                </c:pt>
                <c:pt idx="29">
                  <c:v>-2154</c:v>
                </c:pt>
                <c:pt idx="30">
                  <c:v>-2149</c:v>
                </c:pt>
                <c:pt idx="31">
                  <c:v>-2087</c:v>
                </c:pt>
                <c:pt idx="32">
                  <c:v>-1832</c:v>
                </c:pt>
                <c:pt idx="33">
                  <c:v>-1436</c:v>
                </c:pt>
                <c:pt idx="34">
                  <c:v>0</c:v>
                </c:pt>
                <c:pt idx="35">
                  <c:v>225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-8.9631188423223165E-2</c:v>
                </c:pt>
                <c:pt idx="1">
                  <c:v>-8.9560171797809243E-2</c:v>
                </c:pt>
                <c:pt idx="2">
                  <c:v>-8.9541193216879658E-2</c:v>
                </c:pt>
                <c:pt idx="3">
                  <c:v>-8.9522826848238118E-2</c:v>
                </c:pt>
                <c:pt idx="4">
                  <c:v>-8.9464666680873273E-2</c:v>
                </c:pt>
                <c:pt idx="5">
                  <c:v>-8.8215141400960984E-2</c:v>
                </c:pt>
                <c:pt idx="6">
                  <c:v>-8.8212692551808788E-2</c:v>
                </c:pt>
                <c:pt idx="7">
                  <c:v>-8.8212080339520729E-2</c:v>
                </c:pt>
                <c:pt idx="8">
                  <c:v>-8.8178408663677918E-2</c:v>
                </c:pt>
                <c:pt idx="9">
                  <c:v>-8.814657362469927E-2</c:v>
                </c:pt>
                <c:pt idx="10">
                  <c:v>-8.8138002652666553E-2</c:v>
                </c:pt>
                <c:pt idx="11">
                  <c:v>-8.7841691905249819E-2</c:v>
                </c:pt>
                <c:pt idx="12">
                  <c:v>-8.7729657056536473E-2</c:v>
                </c:pt>
                <c:pt idx="13">
                  <c:v>-8.7705168565014424E-2</c:v>
                </c:pt>
                <c:pt idx="14">
                  <c:v>-8.7700883078998065E-2</c:v>
                </c:pt>
                <c:pt idx="15">
                  <c:v>-8.7601704688333795E-2</c:v>
                </c:pt>
                <c:pt idx="16">
                  <c:v>-8.7423550912510931E-2</c:v>
                </c:pt>
                <c:pt idx="17">
                  <c:v>-8.7423550912510931E-2</c:v>
                </c:pt>
                <c:pt idx="18">
                  <c:v>-8.7403960119293286E-2</c:v>
                </c:pt>
                <c:pt idx="19">
                  <c:v>-8.7400899057853032E-2</c:v>
                </c:pt>
                <c:pt idx="20">
                  <c:v>-8.7399062420988882E-2</c:v>
                </c:pt>
                <c:pt idx="21">
                  <c:v>-8.7397837996412778E-2</c:v>
                </c:pt>
                <c:pt idx="22">
                  <c:v>-8.7396001359548628E-2</c:v>
                </c:pt>
                <c:pt idx="23">
                  <c:v>-8.7394776934972523E-2</c:v>
                </c:pt>
                <c:pt idx="24">
                  <c:v>-8.7392940298108374E-2</c:v>
                </c:pt>
                <c:pt idx="25">
                  <c:v>-8.7392940298108374E-2</c:v>
                </c:pt>
                <c:pt idx="26">
                  <c:v>-8.736783959429828E-2</c:v>
                </c:pt>
                <c:pt idx="27">
                  <c:v>-8.7358044197689458E-2</c:v>
                </c:pt>
                <c:pt idx="28">
                  <c:v>-8.7330494644727155E-2</c:v>
                </c:pt>
                <c:pt idx="29">
                  <c:v>-8.7327433583286901E-2</c:v>
                </c:pt>
                <c:pt idx="30">
                  <c:v>-8.7324372521846647E-2</c:v>
                </c:pt>
                <c:pt idx="31">
                  <c:v>-8.7286415359987476E-2</c:v>
                </c:pt>
                <c:pt idx="32">
                  <c:v>-8.7130301226534451E-2</c:v>
                </c:pt>
                <c:pt idx="33">
                  <c:v>-8.6887865160466218E-2</c:v>
                </c:pt>
                <c:pt idx="34">
                  <c:v>-8.6008728314824853E-2</c:v>
                </c:pt>
                <c:pt idx="35">
                  <c:v>-8.5870980550013354E-2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D6-4287-BFDF-D0A169535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669304"/>
        <c:axId val="1"/>
      </c:scatterChart>
      <c:valAx>
        <c:axId val="96166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166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FDBB9E-EB9C-9D4C-8AA4-22D74874A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23"/>
  <sheetViews>
    <sheetView tabSelected="1" workbookViewId="0">
      <pane xSplit="14" ySplit="21" topLeftCell="O37" activePane="bottomRight" state="frozen"/>
      <selection pane="topRight" activeCell="O1" sqref="O1"/>
      <selection pane="bottomLeft" activeCell="A22" sqref="A22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22</v>
      </c>
      <c r="B2" t="s">
        <v>37</v>
      </c>
      <c r="C2" s="3"/>
      <c r="D2" s="3"/>
    </row>
    <row r="3" spans="1:6" ht="13.5" thickBot="1" x14ac:dyDescent="0.25"/>
    <row r="4" spans="1:6" ht="14.25" thickTop="1" thickBot="1" x14ac:dyDescent="0.25">
      <c r="A4" s="5" t="s">
        <v>35</v>
      </c>
      <c r="C4" s="8">
        <v>52501.04</v>
      </c>
      <c r="D4" s="9">
        <v>6.5978000000000003</v>
      </c>
    </row>
    <row r="5" spans="1:6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C4</f>
        <v>52501.04</v>
      </c>
    </row>
    <row r="8" spans="1:6" x14ac:dyDescent="0.2">
      <c r="A8" t="s">
        <v>2</v>
      </c>
      <c r="C8">
        <f>D4</f>
        <v>6.5978000000000003</v>
      </c>
      <c r="D8" s="29"/>
    </row>
    <row r="9" spans="1:6" x14ac:dyDescent="0.2">
      <c r="A9" s="26" t="s">
        <v>32</v>
      </c>
      <c r="B9" s="27">
        <v>26</v>
      </c>
      <c r="C9" s="24" t="str">
        <f>"F"&amp;B9</f>
        <v>F26</v>
      </c>
      <c r="D9" s="25" t="str">
        <f>"G"&amp;B9</f>
        <v>G26</v>
      </c>
    </row>
    <row r="10" spans="1:6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6" x14ac:dyDescent="0.2">
      <c r="A11" s="12" t="s">
        <v>14</v>
      </c>
      <c r="B11" s="12"/>
      <c r="C11" s="23">
        <f ca="1">INTERCEPT(INDIRECT($D$9):G975,INDIRECT($C$9):F975)</f>
        <v>-8.6008728314824853E-2</v>
      </c>
      <c r="D11" s="3"/>
      <c r="E11" s="12"/>
    </row>
    <row r="12" spans="1:6" x14ac:dyDescent="0.2">
      <c r="A12" s="12" t="s">
        <v>15</v>
      </c>
      <c r="B12" s="12"/>
      <c r="C12" s="23">
        <f ca="1">SLOPE(INDIRECT($D$9):G975,INDIRECT($C$9):F975)</f>
        <v>6.1221228805109222E-7</v>
      </c>
      <c r="D12" s="3"/>
      <c r="E12" s="12"/>
    </row>
    <row r="13" spans="1:6" x14ac:dyDescent="0.2">
      <c r="A13" s="12" t="s">
        <v>17</v>
      </c>
      <c r="B13" s="12"/>
      <c r="C13" s="3" t="s">
        <v>12</v>
      </c>
    </row>
    <row r="14" spans="1:6" x14ac:dyDescent="0.2">
      <c r="A14" s="12"/>
      <c r="B14" s="12"/>
      <c r="C14" s="12"/>
    </row>
    <row r="15" spans="1:6" x14ac:dyDescent="0.2">
      <c r="A15" s="14" t="s">
        <v>16</v>
      </c>
      <c r="B15" s="12"/>
      <c r="C15" s="15">
        <f ca="1">(C7+C11)+(C8+C12)*INT(MAX(F21:F3516))</f>
        <v>53985.459129019451</v>
      </c>
      <c r="E15" s="3"/>
      <c r="F15" s="12"/>
    </row>
    <row r="16" spans="1:6" x14ac:dyDescent="0.2">
      <c r="A16" s="18" t="s">
        <v>3</v>
      </c>
      <c r="B16" s="12"/>
      <c r="C16" s="19">
        <f ca="1">+C8+C12</f>
        <v>6.5978006122122883</v>
      </c>
      <c r="E16" s="12"/>
      <c r="F16" s="12"/>
    </row>
    <row r="17" spans="1:17" ht="13.5" thickBot="1" x14ac:dyDescent="0.25">
      <c r="A17" s="16" t="s">
        <v>26</v>
      </c>
      <c r="B17" s="12"/>
      <c r="C17" s="12">
        <f>COUNT(C21:C2174)</f>
        <v>36</v>
      </c>
      <c r="E17" s="16" t="s">
        <v>29</v>
      </c>
      <c r="F17" s="17">
        <f ca="1">TODAY()+15018.5-B5/24</f>
        <v>60340.5</v>
      </c>
    </row>
    <row r="18" spans="1:17" ht="14.25" thickTop="1" thickBot="1" x14ac:dyDescent="0.25">
      <c r="A18" s="18" t="s">
        <v>4</v>
      </c>
      <c r="B18" s="12"/>
      <c r="C18" s="21">
        <f ca="1">+C15</f>
        <v>53985.459129019451</v>
      </c>
      <c r="D18" s="22">
        <f ca="1">+C16</f>
        <v>6.5978006122122883</v>
      </c>
      <c r="E18" s="16" t="s">
        <v>30</v>
      </c>
      <c r="F18" s="17">
        <f ca="1">ROUND(2*(F17-C15)/C16,0)/2+1</f>
        <v>964</v>
      </c>
    </row>
    <row r="19" spans="1:17" ht="13.5" thickTop="1" x14ac:dyDescent="0.2">
      <c r="E19" s="16" t="s">
        <v>31</v>
      </c>
      <c r="F19" s="20">
        <f ca="1">+C15+C16*F18-15018.5-C5/24</f>
        <v>45327.634752525431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46</v>
      </c>
      <c r="I20" s="7" t="s">
        <v>49</v>
      </c>
      <c r="J20" s="7" t="s">
        <v>43</v>
      </c>
      <c r="K20" s="7" t="s">
        <v>41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46" t="s">
        <v>56</v>
      </c>
      <c r="B21" s="48" t="s">
        <v>33</v>
      </c>
      <c r="C21" s="47">
        <v>13461.43</v>
      </c>
      <c r="D21" s="47" t="s">
        <v>49</v>
      </c>
      <c r="E21">
        <f t="shared" ref="E21:E56" si="0">+(C21-C$7)/C$8</f>
        <v>-5917.0647791688134</v>
      </c>
      <c r="F21">
        <f t="shared" ref="F21:F56" si="1">ROUND(2*E21,0)/2</f>
        <v>-5917</v>
      </c>
      <c r="G21">
        <f t="shared" ref="G21:G56" si="2">+C21-(C$7+F21*C$8)</f>
        <v>-0.42740000000048894</v>
      </c>
      <c r="H21">
        <f t="shared" ref="H21:H31" si="3">+G21</f>
        <v>-0.42740000000048894</v>
      </c>
      <c r="O21">
        <f t="shared" ref="O21:O56" ca="1" si="4">+C$11+C$12*$F21</f>
        <v>-8.9631188423223165E-2</v>
      </c>
      <c r="Q21" s="50" t="s">
        <v>176</v>
      </c>
    </row>
    <row r="22" spans="1:17" x14ac:dyDescent="0.2">
      <c r="A22" s="46" t="s">
        <v>61</v>
      </c>
      <c r="B22" s="48" t="s">
        <v>33</v>
      </c>
      <c r="C22" s="47">
        <v>14228.269</v>
      </c>
      <c r="D22" s="47" t="s">
        <v>49</v>
      </c>
      <c r="E22">
        <f t="shared" si="0"/>
        <v>-5800.8383097396099</v>
      </c>
      <c r="F22">
        <f t="shared" si="1"/>
        <v>-5801</v>
      </c>
      <c r="G22">
        <f t="shared" si="2"/>
        <v>1.0668000000005122</v>
      </c>
      <c r="H22">
        <f t="shared" si="3"/>
        <v>1.0668000000005122</v>
      </c>
      <c r="O22">
        <f t="shared" ca="1" si="4"/>
        <v>-8.9560171797809243E-2</v>
      </c>
      <c r="Q22" s="50" t="s">
        <v>177</v>
      </c>
    </row>
    <row r="23" spans="1:17" x14ac:dyDescent="0.2">
      <c r="A23" s="46" t="s">
        <v>56</v>
      </c>
      <c r="B23" s="48" t="s">
        <v>33</v>
      </c>
      <c r="C23" s="47">
        <v>14431.4</v>
      </c>
      <c r="D23" s="47" t="s">
        <v>49</v>
      </c>
      <c r="E23">
        <f t="shared" si="0"/>
        <v>-5770.0506229349176</v>
      </c>
      <c r="F23">
        <f t="shared" si="1"/>
        <v>-5770</v>
      </c>
      <c r="G23">
        <f t="shared" si="2"/>
        <v>-0.33399999999710417</v>
      </c>
      <c r="H23">
        <f t="shared" si="3"/>
        <v>-0.33399999999710417</v>
      </c>
      <c r="O23">
        <f t="shared" ca="1" si="4"/>
        <v>-8.9541193216879658E-2</v>
      </c>
      <c r="Q23" s="50" t="s">
        <v>178</v>
      </c>
    </row>
    <row r="24" spans="1:17" x14ac:dyDescent="0.2">
      <c r="A24" s="46" t="s">
        <v>56</v>
      </c>
      <c r="B24" s="48" t="s">
        <v>33</v>
      </c>
      <c r="C24" s="47">
        <v>14629.22</v>
      </c>
      <c r="D24" s="47" t="s">
        <v>49</v>
      </c>
      <c r="E24">
        <f t="shared" si="0"/>
        <v>-5740.0679014216857</v>
      </c>
      <c r="F24">
        <f t="shared" si="1"/>
        <v>-5740</v>
      </c>
      <c r="G24">
        <f t="shared" si="2"/>
        <v>-0.44799999999850115</v>
      </c>
      <c r="H24">
        <f t="shared" si="3"/>
        <v>-0.44799999999850115</v>
      </c>
      <c r="O24">
        <f t="shared" ca="1" si="4"/>
        <v>-8.9522826848238118E-2</v>
      </c>
      <c r="Q24" s="50" t="s">
        <v>179</v>
      </c>
    </row>
    <row r="25" spans="1:17" x14ac:dyDescent="0.2">
      <c r="A25" s="46" t="s">
        <v>61</v>
      </c>
      <c r="B25" s="48" t="s">
        <v>33</v>
      </c>
      <c r="C25" s="47">
        <v>15257.35</v>
      </c>
      <c r="D25" s="47" t="s">
        <v>49</v>
      </c>
      <c r="E25">
        <f t="shared" si="0"/>
        <v>-5644.8649549849952</v>
      </c>
      <c r="F25">
        <f t="shared" si="1"/>
        <v>-5645</v>
      </c>
      <c r="G25">
        <f t="shared" si="2"/>
        <v>0.89099999999780266</v>
      </c>
      <c r="H25">
        <f t="shared" si="3"/>
        <v>0.89099999999780266</v>
      </c>
      <c r="O25">
        <f t="shared" ca="1" si="4"/>
        <v>-8.9464666680873273E-2</v>
      </c>
      <c r="Q25" s="2">
        <f t="shared" ref="Q21:Q56" si="5">+C25-15018.5</f>
        <v>238.85000000000036</v>
      </c>
    </row>
    <row r="26" spans="1:17" x14ac:dyDescent="0.2">
      <c r="A26" s="46" t="s">
        <v>56</v>
      </c>
      <c r="B26" s="48" t="s">
        <v>33</v>
      </c>
      <c r="C26" s="47">
        <v>28722.400000000001</v>
      </c>
      <c r="D26" s="47" t="s">
        <v>49</v>
      </c>
      <c r="E26">
        <f t="shared" si="0"/>
        <v>-3604.0255842856709</v>
      </c>
      <c r="F26">
        <f t="shared" si="1"/>
        <v>-3604</v>
      </c>
      <c r="G26">
        <f t="shared" si="2"/>
        <v>-0.16879999999946449</v>
      </c>
      <c r="H26">
        <f t="shared" si="3"/>
        <v>-0.16879999999946449</v>
      </c>
      <c r="O26">
        <f t="shared" ca="1" si="4"/>
        <v>-8.8215141400960984E-2</v>
      </c>
      <c r="Q26" s="2">
        <f t="shared" si="5"/>
        <v>13703.900000000001</v>
      </c>
    </row>
    <row r="27" spans="1:17" x14ac:dyDescent="0.2">
      <c r="A27" s="46" t="s">
        <v>77</v>
      </c>
      <c r="B27" s="48" t="s">
        <v>33</v>
      </c>
      <c r="C27" s="47">
        <v>28749.153999999999</v>
      </c>
      <c r="D27" s="47" t="s">
        <v>49</v>
      </c>
      <c r="E27">
        <f t="shared" si="0"/>
        <v>-3599.9705962593594</v>
      </c>
      <c r="F27">
        <f t="shared" si="1"/>
        <v>-3600</v>
      </c>
      <c r="G27">
        <f t="shared" si="2"/>
        <v>0.19399999999950523</v>
      </c>
      <c r="H27">
        <f t="shared" si="3"/>
        <v>0.19399999999950523</v>
      </c>
      <c r="O27">
        <f t="shared" ca="1" si="4"/>
        <v>-8.8212692551808788E-2</v>
      </c>
      <c r="Q27" s="2">
        <f t="shared" si="5"/>
        <v>13730.653999999999</v>
      </c>
    </row>
    <row r="28" spans="1:17" x14ac:dyDescent="0.2">
      <c r="A28" s="46" t="s">
        <v>56</v>
      </c>
      <c r="B28" s="48" t="s">
        <v>33</v>
      </c>
      <c r="C28" s="47">
        <v>28755.360000000001</v>
      </c>
      <c r="D28" s="47" t="s">
        <v>49</v>
      </c>
      <c r="E28">
        <f t="shared" si="0"/>
        <v>-3599.0299796901995</v>
      </c>
      <c r="F28">
        <f t="shared" si="1"/>
        <v>-3599</v>
      </c>
      <c r="G28">
        <f t="shared" si="2"/>
        <v>-0.19779999999809661</v>
      </c>
      <c r="H28">
        <f t="shared" si="3"/>
        <v>-0.19779999999809661</v>
      </c>
      <c r="O28">
        <f t="shared" ca="1" si="4"/>
        <v>-8.8212080339520729E-2</v>
      </c>
      <c r="Q28" s="2">
        <f t="shared" si="5"/>
        <v>13736.86</v>
      </c>
    </row>
    <row r="29" spans="1:17" x14ac:dyDescent="0.2">
      <c r="A29" s="46" t="s">
        <v>56</v>
      </c>
      <c r="B29" s="48" t="s">
        <v>33</v>
      </c>
      <c r="C29" s="47">
        <v>29118.34</v>
      </c>
      <c r="D29" s="47" t="s">
        <v>49</v>
      </c>
      <c r="E29">
        <f t="shared" si="0"/>
        <v>-3544.0146715571855</v>
      </c>
      <c r="F29">
        <f t="shared" si="1"/>
        <v>-3544</v>
      </c>
      <c r="G29">
        <f t="shared" si="2"/>
        <v>-9.6799999999348074E-2</v>
      </c>
      <c r="H29">
        <f t="shared" si="3"/>
        <v>-9.6799999999348074E-2</v>
      </c>
      <c r="O29">
        <f t="shared" ca="1" si="4"/>
        <v>-8.8178408663677918E-2</v>
      </c>
      <c r="Q29" s="2">
        <f t="shared" si="5"/>
        <v>14099.84</v>
      </c>
    </row>
    <row r="30" spans="1:17" x14ac:dyDescent="0.2">
      <c r="A30" s="46" t="s">
        <v>56</v>
      </c>
      <c r="B30" s="48" t="s">
        <v>33</v>
      </c>
      <c r="C30" s="47">
        <v>29461.4</v>
      </c>
      <c r="D30" s="47" t="s">
        <v>49</v>
      </c>
      <c r="E30">
        <f t="shared" si="0"/>
        <v>-3492.0185516384245</v>
      </c>
      <c r="F30">
        <f t="shared" si="1"/>
        <v>-3492</v>
      </c>
      <c r="G30">
        <f t="shared" si="2"/>
        <v>-0.12239999999655993</v>
      </c>
      <c r="H30">
        <f t="shared" si="3"/>
        <v>-0.12239999999655993</v>
      </c>
      <c r="O30">
        <f t="shared" ca="1" si="4"/>
        <v>-8.814657362469927E-2</v>
      </c>
      <c r="Q30" s="2">
        <f t="shared" si="5"/>
        <v>14442.900000000001</v>
      </c>
    </row>
    <row r="31" spans="1:17" x14ac:dyDescent="0.2">
      <c r="A31" s="46" t="s">
        <v>77</v>
      </c>
      <c r="B31" s="48" t="s">
        <v>33</v>
      </c>
      <c r="C31" s="47">
        <v>29553.985000000001</v>
      </c>
      <c r="D31" s="47" t="s">
        <v>49</v>
      </c>
      <c r="E31">
        <f t="shared" si="0"/>
        <v>-3477.9858437661037</v>
      </c>
      <c r="F31">
        <f t="shared" si="1"/>
        <v>-3478</v>
      </c>
      <c r="G31">
        <f t="shared" si="2"/>
        <v>9.3400000001565786E-2</v>
      </c>
      <c r="H31">
        <f t="shared" si="3"/>
        <v>9.3400000001565786E-2</v>
      </c>
      <c r="O31">
        <f t="shared" ca="1" si="4"/>
        <v>-8.8138002652666553E-2</v>
      </c>
      <c r="Q31" s="2">
        <f t="shared" si="5"/>
        <v>14535.485000000001</v>
      </c>
    </row>
    <row r="32" spans="1:17" x14ac:dyDescent="0.2">
      <c r="A32" s="46" t="s">
        <v>94</v>
      </c>
      <c r="B32" s="48" t="s">
        <v>33</v>
      </c>
      <c r="C32" s="47">
        <v>32747.167000000001</v>
      </c>
      <c r="D32" s="47" t="s">
        <v>49</v>
      </c>
      <c r="E32">
        <f t="shared" si="0"/>
        <v>-2994.0090636272694</v>
      </c>
      <c r="F32">
        <f t="shared" si="1"/>
        <v>-2994</v>
      </c>
      <c r="G32">
        <f t="shared" si="2"/>
        <v>-5.979999999908614E-2</v>
      </c>
      <c r="I32">
        <f>+G32</f>
        <v>-5.979999999908614E-2</v>
      </c>
      <c r="O32">
        <f t="shared" ca="1" si="4"/>
        <v>-8.7841691905249819E-2</v>
      </c>
      <c r="Q32" s="2">
        <f t="shared" si="5"/>
        <v>17728.667000000001</v>
      </c>
    </row>
    <row r="33" spans="1:17" x14ac:dyDescent="0.2">
      <c r="A33" s="46" t="s">
        <v>56</v>
      </c>
      <c r="B33" s="48" t="s">
        <v>33</v>
      </c>
      <c r="C33" s="47">
        <v>33954.36</v>
      </c>
      <c r="D33" s="47" t="s">
        <v>49</v>
      </c>
      <c r="E33">
        <f t="shared" si="0"/>
        <v>-2811.040043650914</v>
      </c>
      <c r="F33">
        <f t="shared" si="1"/>
        <v>-2811</v>
      </c>
      <c r="G33">
        <f t="shared" si="2"/>
        <v>-0.26419999999779975</v>
      </c>
      <c r="H33">
        <f>+G33</f>
        <v>-0.26419999999779975</v>
      </c>
      <c r="O33">
        <f t="shared" ca="1" si="4"/>
        <v>-8.7729657056536473E-2</v>
      </c>
      <c r="Q33" s="2">
        <f t="shared" si="5"/>
        <v>18935.86</v>
      </c>
    </row>
    <row r="34" spans="1:17" x14ac:dyDescent="0.2">
      <c r="A34" s="46" t="s">
        <v>104</v>
      </c>
      <c r="B34" s="48" t="s">
        <v>33</v>
      </c>
      <c r="C34" s="47">
        <v>34218.463000000003</v>
      </c>
      <c r="D34" s="47" t="s">
        <v>49</v>
      </c>
      <c r="E34">
        <f t="shared" si="0"/>
        <v>-2771.0110946072928</v>
      </c>
      <c r="F34">
        <f t="shared" si="1"/>
        <v>-2771</v>
      </c>
      <c r="G34">
        <f t="shared" si="2"/>
        <v>-7.3199999998905696E-2</v>
      </c>
      <c r="I34">
        <f>+G34</f>
        <v>-7.3199999998905696E-2</v>
      </c>
      <c r="O34">
        <f t="shared" ca="1" si="4"/>
        <v>-8.7705168565014424E-2</v>
      </c>
      <c r="Q34" s="2">
        <f t="shared" si="5"/>
        <v>19199.963000000003</v>
      </c>
    </row>
    <row r="35" spans="1:17" x14ac:dyDescent="0.2">
      <c r="A35" s="46" t="s">
        <v>77</v>
      </c>
      <c r="B35" s="48" t="s">
        <v>33</v>
      </c>
      <c r="C35" s="47">
        <v>34264.849000000002</v>
      </c>
      <c r="D35" s="47" t="s">
        <v>49</v>
      </c>
      <c r="E35">
        <f t="shared" si="0"/>
        <v>-2763.980569280669</v>
      </c>
      <c r="F35">
        <f t="shared" si="1"/>
        <v>-2764</v>
      </c>
      <c r="G35">
        <f t="shared" si="2"/>
        <v>0.12820000000647269</v>
      </c>
      <c r="H35">
        <f>+G35</f>
        <v>0.12820000000647269</v>
      </c>
      <c r="O35">
        <f t="shared" ca="1" si="4"/>
        <v>-8.7700883078998065E-2</v>
      </c>
      <c r="Q35" s="2">
        <f t="shared" si="5"/>
        <v>19246.349000000002</v>
      </c>
    </row>
    <row r="36" spans="1:17" x14ac:dyDescent="0.2">
      <c r="A36" s="46" t="s">
        <v>56</v>
      </c>
      <c r="B36" s="48" t="s">
        <v>33</v>
      </c>
      <c r="C36" s="47">
        <v>35333.449999999997</v>
      </c>
      <c r="D36" s="47" t="s">
        <v>49</v>
      </c>
      <c r="E36">
        <f t="shared" si="0"/>
        <v>-2602.0173391130379</v>
      </c>
      <c r="F36">
        <f t="shared" si="1"/>
        <v>-2602</v>
      </c>
      <c r="G36">
        <f t="shared" si="2"/>
        <v>-0.11440000000584405</v>
      </c>
      <c r="H36">
        <f>+G36</f>
        <v>-0.11440000000584405</v>
      </c>
      <c r="O36">
        <f t="shared" ca="1" si="4"/>
        <v>-8.7601704688333795E-2</v>
      </c>
      <c r="Q36" s="2">
        <f t="shared" si="5"/>
        <v>20314.949999999997</v>
      </c>
    </row>
    <row r="37" spans="1:17" x14ac:dyDescent="0.2">
      <c r="A37" s="46" t="s">
        <v>115</v>
      </c>
      <c r="B37" s="48" t="s">
        <v>33</v>
      </c>
      <c r="C37" s="47">
        <v>37253.21</v>
      </c>
      <c r="D37" s="47" t="s">
        <v>49</v>
      </c>
      <c r="E37">
        <f t="shared" si="0"/>
        <v>-2311.0476219345842</v>
      </c>
      <c r="F37">
        <f t="shared" si="1"/>
        <v>-2311</v>
      </c>
      <c r="G37">
        <f t="shared" si="2"/>
        <v>-0.31420000000071013</v>
      </c>
      <c r="I37">
        <f t="shared" ref="I37:I51" si="6">+G37</f>
        <v>-0.31420000000071013</v>
      </c>
      <c r="O37">
        <f t="shared" ca="1" si="4"/>
        <v>-8.7423550912510931E-2</v>
      </c>
      <c r="Q37" s="2">
        <f t="shared" si="5"/>
        <v>22234.71</v>
      </c>
    </row>
    <row r="38" spans="1:17" x14ac:dyDescent="0.2">
      <c r="A38" s="46" t="s">
        <v>120</v>
      </c>
      <c r="B38" s="48" t="s">
        <v>33</v>
      </c>
      <c r="C38" s="47">
        <v>37253.275999999998</v>
      </c>
      <c r="D38" s="47" t="s">
        <v>49</v>
      </c>
      <c r="E38">
        <f t="shared" si="0"/>
        <v>-2311.0376186001399</v>
      </c>
      <c r="F38">
        <f t="shared" si="1"/>
        <v>-2311</v>
      </c>
      <c r="G38">
        <f t="shared" si="2"/>
        <v>-0.24820000000181608</v>
      </c>
      <c r="I38">
        <f t="shared" si="6"/>
        <v>-0.24820000000181608</v>
      </c>
      <c r="O38">
        <f t="shared" ca="1" si="4"/>
        <v>-8.7423550912510931E-2</v>
      </c>
      <c r="Q38" s="2">
        <f t="shared" si="5"/>
        <v>22234.775999999998</v>
      </c>
    </row>
    <row r="39" spans="1:17" x14ac:dyDescent="0.2">
      <c r="A39" s="46" t="s">
        <v>115</v>
      </c>
      <c r="B39" s="48" t="s">
        <v>33</v>
      </c>
      <c r="C39" s="47">
        <v>37464.480000000003</v>
      </c>
      <c r="D39" s="47" t="s">
        <v>49</v>
      </c>
      <c r="E39">
        <f t="shared" si="0"/>
        <v>-2279.0263421140376</v>
      </c>
      <c r="F39">
        <f t="shared" si="1"/>
        <v>-2279</v>
      </c>
      <c r="G39">
        <f t="shared" si="2"/>
        <v>-0.17379999999684514</v>
      </c>
      <c r="I39">
        <f t="shared" si="6"/>
        <v>-0.17379999999684514</v>
      </c>
      <c r="O39">
        <f t="shared" ca="1" si="4"/>
        <v>-8.7403960119293286E-2</v>
      </c>
      <c r="Q39" s="2">
        <f t="shared" si="5"/>
        <v>22445.980000000003</v>
      </c>
    </row>
    <row r="40" spans="1:17" x14ac:dyDescent="0.2">
      <c r="A40" s="46" t="s">
        <v>115</v>
      </c>
      <c r="B40" s="48" t="s">
        <v>33</v>
      </c>
      <c r="C40" s="47">
        <v>37497.519999999997</v>
      </c>
      <c r="D40" s="47" t="s">
        <v>49</v>
      </c>
      <c r="E40">
        <f t="shared" si="0"/>
        <v>-2274.0186122646946</v>
      </c>
      <c r="F40">
        <f t="shared" si="1"/>
        <v>-2274</v>
      </c>
      <c r="G40">
        <f t="shared" si="2"/>
        <v>-0.12280000000464497</v>
      </c>
      <c r="I40">
        <f t="shared" si="6"/>
        <v>-0.12280000000464497</v>
      </c>
      <c r="O40">
        <f t="shared" ca="1" si="4"/>
        <v>-8.7400899057853032E-2</v>
      </c>
      <c r="Q40" s="2">
        <f t="shared" si="5"/>
        <v>22479.019999999997</v>
      </c>
    </row>
    <row r="41" spans="1:17" x14ac:dyDescent="0.2">
      <c r="A41" s="46" t="s">
        <v>115</v>
      </c>
      <c r="B41" s="48" t="s">
        <v>33</v>
      </c>
      <c r="C41" s="47">
        <v>37517.42</v>
      </c>
      <c r="D41" s="47" t="s">
        <v>49</v>
      </c>
      <c r="E41">
        <f t="shared" si="0"/>
        <v>-2271.0024553639096</v>
      </c>
      <c r="F41">
        <f t="shared" si="1"/>
        <v>-2271</v>
      </c>
      <c r="G41">
        <f t="shared" si="2"/>
        <v>-1.6199999998207204E-2</v>
      </c>
      <c r="I41">
        <f t="shared" si="6"/>
        <v>-1.6199999998207204E-2</v>
      </c>
      <c r="O41">
        <f t="shared" ca="1" si="4"/>
        <v>-8.7399062420988882E-2</v>
      </c>
      <c r="Q41" s="2">
        <f t="shared" si="5"/>
        <v>22498.92</v>
      </c>
    </row>
    <row r="42" spans="1:17" x14ac:dyDescent="0.2">
      <c r="A42" s="46" t="s">
        <v>115</v>
      </c>
      <c r="B42" s="48" t="s">
        <v>33</v>
      </c>
      <c r="C42" s="47">
        <v>37530.480000000003</v>
      </c>
      <c r="D42" s="47" t="s">
        <v>49</v>
      </c>
      <c r="E42">
        <f t="shared" si="0"/>
        <v>-2269.0230076692228</v>
      </c>
      <c r="F42">
        <f t="shared" si="1"/>
        <v>-2269</v>
      </c>
      <c r="G42">
        <f t="shared" si="2"/>
        <v>-0.15179999999963911</v>
      </c>
      <c r="I42">
        <f t="shared" si="6"/>
        <v>-0.15179999999963911</v>
      </c>
      <c r="O42">
        <f t="shared" ca="1" si="4"/>
        <v>-8.7397837996412778E-2</v>
      </c>
      <c r="Q42" s="2">
        <f t="shared" si="5"/>
        <v>22511.980000000003</v>
      </c>
    </row>
    <row r="43" spans="1:17" x14ac:dyDescent="0.2">
      <c r="A43" s="46" t="s">
        <v>115</v>
      </c>
      <c r="B43" s="48" t="s">
        <v>33</v>
      </c>
      <c r="C43" s="47">
        <v>37550.46</v>
      </c>
      <c r="D43" s="47" t="s">
        <v>49</v>
      </c>
      <c r="E43">
        <f t="shared" si="0"/>
        <v>-2265.9947255145657</v>
      </c>
      <c r="F43">
        <f t="shared" si="1"/>
        <v>-2266</v>
      </c>
      <c r="G43">
        <f t="shared" si="2"/>
        <v>3.4800000001268927E-2</v>
      </c>
      <c r="I43">
        <f t="shared" si="6"/>
        <v>3.4800000001268927E-2</v>
      </c>
      <c r="O43">
        <f t="shared" ca="1" si="4"/>
        <v>-8.7396001359548628E-2</v>
      </c>
      <c r="Q43" s="2">
        <f t="shared" si="5"/>
        <v>22531.96</v>
      </c>
    </row>
    <row r="44" spans="1:17" x14ac:dyDescent="0.2">
      <c r="A44" s="46" t="s">
        <v>115</v>
      </c>
      <c r="B44" s="48" t="s">
        <v>33</v>
      </c>
      <c r="C44" s="47">
        <v>37563.53</v>
      </c>
      <c r="D44" s="47" t="s">
        <v>49</v>
      </c>
      <c r="E44">
        <f t="shared" si="0"/>
        <v>-2264.0137621631457</v>
      </c>
      <c r="F44">
        <f t="shared" si="1"/>
        <v>-2264</v>
      </c>
      <c r="G44">
        <f t="shared" si="2"/>
        <v>-9.0800000005401671E-2</v>
      </c>
      <c r="I44">
        <f t="shared" si="6"/>
        <v>-9.0800000005401671E-2</v>
      </c>
      <c r="O44">
        <f t="shared" ca="1" si="4"/>
        <v>-8.7394776934972523E-2</v>
      </c>
      <c r="Q44" s="2">
        <f t="shared" si="5"/>
        <v>22545.03</v>
      </c>
    </row>
    <row r="45" spans="1:17" x14ac:dyDescent="0.2">
      <c r="A45" s="46" t="s">
        <v>115</v>
      </c>
      <c r="B45" s="48" t="s">
        <v>33</v>
      </c>
      <c r="C45" s="47">
        <v>37583.35</v>
      </c>
      <c r="D45" s="47" t="s">
        <v>49</v>
      </c>
      <c r="E45">
        <f t="shared" si="0"/>
        <v>-2261.009730516233</v>
      </c>
      <c r="F45">
        <f t="shared" si="1"/>
        <v>-2261</v>
      </c>
      <c r="G45">
        <f t="shared" si="2"/>
        <v>-6.4200000000710133E-2</v>
      </c>
      <c r="I45">
        <f t="shared" si="6"/>
        <v>-6.4200000000710133E-2</v>
      </c>
      <c r="O45">
        <f t="shared" ca="1" si="4"/>
        <v>-8.7392940298108374E-2</v>
      </c>
      <c r="Q45" s="2">
        <f t="shared" si="5"/>
        <v>22564.85</v>
      </c>
    </row>
    <row r="46" spans="1:17" x14ac:dyDescent="0.2">
      <c r="A46" s="46" t="s">
        <v>120</v>
      </c>
      <c r="B46" s="48" t="s">
        <v>33</v>
      </c>
      <c r="C46" s="47">
        <v>37583.368999999999</v>
      </c>
      <c r="D46" s="47" t="s">
        <v>49</v>
      </c>
      <c r="E46">
        <f t="shared" si="0"/>
        <v>-2261.0068507684382</v>
      </c>
      <c r="F46">
        <f t="shared" si="1"/>
        <v>-2261</v>
      </c>
      <c r="G46">
        <f t="shared" si="2"/>
        <v>-4.5200000000477303E-2</v>
      </c>
      <c r="I46">
        <f t="shared" si="6"/>
        <v>-4.5200000000477303E-2</v>
      </c>
      <c r="O46">
        <f t="shared" ca="1" si="4"/>
        <v>-8.7392940298108374E-2</v>
      </c>
      <c r="Q46" s="2">
        <f t="shared" si="5"/>
        <v>22564.868999999999</v>
      </c>
    </row>
    <row r="47" spans="1:17" x14ac:dyDescent="0.2">
      <c r="A47" s="46" t="s">
        <v>115</v>
      </c>
      <c r="B47" s="48" t="s">
        <v>33</v>
      </c>
      <c r="C47" s="47">
        <v>37853.550000000003</v>
      </c>
      <c r="D47" s="47" t="s">
        <v>49</v>
      </c>
      <c r="E47">
        <f t="shared" si="0"/>
        <v>-2220.0566855618536</v>
      </c>
      <c r="F47">
        <f t="shared" si="1"/>
        <v>-2220</v>
      </c>
      <c r="G47">
        <f t="shared" si="2"/>
        <v>-0.37399999999615829</v>
      </c>
      <c r="I47">
        <f t="shared" si="6"/>
        <v>-0.37399999999615829</v>
      </c>
      <c r="O47">
        <f t="shared" ca="1" si="4"/>
        <v>-8.736783959429828E-2</v>
      </c>
      <c r="Q47" s="2">
        <f t="shared" si="5"/>
        <v>22835.050000000003</v>
      </c>
    </row>
    <row r="48" spans="1:17" x14ac:dyDescent="0.2">
      <c r="A48" s="46" t="s">
        <v>120</v>
      </c>
      <c r="B48" s="48" t="s">
        <v>33</v>
      </c>
      <c r="C48" s="47">
        <v>37959.387000000002</v>
      </c>
      <c r="D48" s="47" t="s">
        <v>49</v>
      </c>
      <c r="E48">
        <f t="shared" si="0"/>
        <v>-2204.0154293855526</v>
      </c>
      <c r="F48">
        <f t="shared" si="1"/>
        <v>-2204</v>
      </c>
      <c r="G48">
        <f t="shared" si="2"/>
        <v>-0.10179999999672873</v>
      </c>
      <c r="I48">
        <f t="shared" si="6"/>
        <v>-0.10179999999672873</v>
      </c>
      <c r="O48">
        <f t="shared" ca="1" si="4"/>
        <v>-8.7358044197689458E-2</v>
      </c>
      <c r="Q48" s="2">
        <f t="shared" si="5"/>
        <v>22940.887000000002</v>
      </c>
    </row>
    <row r="49" spans="1:18" x14ac:dyDescent="0.2">
      <c r="A49" s="46" t="s">
        <v>120</v>
      </c>
      <c r="B49" s="48" t="s">
        <v>33</v>
      </c>
      <c r="C49" s="47">
        <v>38256.519999999997</v>
      </c>
      <c r="D49" s="47" t="s">
        <v>49</v>
      </c>
      <c r="E49">
        <f t="shared" si="0"/>
        <v>-2158.9802661493231</v>
      </c>
      <c r="F49">
        <f t="shared" si="1"/>
        <v>-2159</v>
      </c>
      <c r="G49">
        <f t="shared" si="2"/>
        <v>0.13019999999232823</v>
      </c>
      <c r="I49">
        <f t="shared" si="6"/>
        <v>0.13019999999232823</v>
      </c>
      <c r="O49">
        <f t="shared" ca="1" si="4"/>
        <v>-8.7330494644727155E-2</v>
      </c>
      <c r="Q49" s="2">
        <f t="shared" si="5"/>
        <v>23238.019999999997</v>
      </c>
    </row>
    <row r="50" spans="1:18" x14ac:dyDescent="0.2">
      <c r="A50" s="46" t="s">
        <v>120</v>
      </c>
      <c r="B50" s="48" t="s">
        <v>33</v>
      </c>
      <c r="C50" s="47">
        <v>38289.326999999997</v>
      </c>
      <c r="D50" s="47" t="s">
        <v>49</v>
      </c>
      <c r="E50">
        <f t="shared" si="0"/>
        <v>-2154.0078511018828</v>
      </c>
      <c r="F50">
        <f t="shared" si="1"/>
        <v>-2154</v>
      </c>
      <c r="G50">
        <f t="shared" si="2"/>
        <v>-5.1800000001094304E-2</v>
      </c>
      <c r="I50">
        <f t="shared" si="6"/>
        <v>-5.1800000001094304E-2</v>
      </c>
      <c r="O50">
        <f t="shared" ca="1" si="4"/>
        <v>-8.7327433583286901E-2</v>
      </c>
      <c r="Q50" s="2">
        <f t="shared" si="5"/>
        <v>23270.826999999997</v>
      </c>
    </row>
    <row r="51" spans="1:18" x14ac:dyDescent="0.2">
      <c r="A51" s="46" t="s">
        <v>120</v>
      </c>
      <c r="B51" s="48" t="s">
        <v>33</v>
      </c>
      <c r="C51" s="47">
        <v>38322.264999999999</v>
      </c>
      <c r="D51" s="47" t="s">
        <v>49</v>
      </c>
      <c r="E51">
        <f t="shared" si="0"/>
        <v>-2149.0155809512262</v>
      </c>
      <c r="F51">
        <f t="shared" si="1"/>
        <v>-2149</v>
      </c>
      <c r="G51">
        <f t="shared" si="2"/>
        <v>-0.10280000000057044</v>
      </c>
      <c r="I51">
        <f t="shared" si="6"/>
        <v>-0.10280000000057044</v>
      </c>
      <c r="O51">
        <f t="shared" ca="1" si="4"/>
        <v>-8.7324372521846647E-2</v>
      </c>
      <c r="Q51" s="2">
        <f t="shared" si="5"/>
        <v>23303.764999999999</v>
      </c>
    </row>
    <row r="52" spans="1:18" x14ac:dyDescent="0.2">
      <c r="A52" s="46" t="s">
        <v>56</v>
      </c>
      <c r="B52" s="48" t="s">
        <v>33</v>
      </c>
      <c r="C52" s="47">
        <v>38731.29</v>
      </c>
      <c r="D52" s="47" t="s">
        <v>49</v>
      </c>
      <c r="E52">
        <f t="shared" si="0"/>
        <v>-2087.0214313862193</v>
      </c>
      <c r="F52">
        <f t="shared" si="1"/>
        <v>-2087</v>
      </c>
      <c r="G52">
        <f t="shared" si="2"/>
        <v>-0.14140000000043074</v>
      </c>
      <c r="H52">
        <f>+G52</f>
        <v>-0.14140000000043074</v>
      </c>
      <c r="O52">
        <f t="shared" ca="1" si="4"/>
        <v>-8.7286415359987476E-2</v>
      </c>
      <c r="Q52" s="2">
        <f t="shared" si="5"/>
        <v>23712.79</v>
      </c>
    </row>
    <row r="53" spans="1:18" x14ac:dyDescent="0.2">
      <c r="A53" s="46" t="s">
        <v>165</v>
      </c>
      <c r="B53" s="48" t="s">
        <v>33</v>
      </c>
      <c r="C53" s="47">
        <v>40413.796000000002</v>
      </c>
      <c r="D53" s="47" t="s">
        <v>49</v>
      </c>
      <c r="E53">
        <f t="shared" si="0"/>
        <v>-1832.0112764861012</v>
      </c>
      <c r="F53">
        <f t="shared" si="1"/>
        <v>-1832</v>
      </c>
      <c r="G53">
        <f t="shared" si="2"/>
        <v>-7.4399999997694977E-2</v>
      </c>
      <c r="I53">
        <f>+G53</f>
        <v>-7.4399999997694977E-2</v>
      </c>
      <c r="O53">
        <f t="shared" ca="1" si="4"/>
        <v>-8.7130301226534451E-2</v>
      </c>
      <c r="Q53" s="2">
        <f t="shared" si="5"/>
        <v>25395.296000000002</v>
      </c>
    </row>
    <row r="54" spans="1:18" x14ac:dyDescent="0.2">
      <c r="A54" s="46" t="s">
        <v>56</v>
      </c>
      <c r="B54" s="48" t="s">
        <v>33</v>
      </c>
      <c r="C54" s="47">
        <v>43026.53</v>
      </c>
      <c r="D54" s="47" t="s">
        <v>49</v>
      </c>
      <c r="E54">
        <f t="shared" si="0"/>
        <v>-1436.0104883445999</v>
      </c>
      <c r="F54">
        <f t="shared" si="1"/>
        <v>-1436</v>
      </c>
      <c r="G54">
        <f t="shared" si="2"/>
        <v>-6.9199999998090789E-2</v>
      </c>
      <c r="H54">
        <f>+G54</f>
        <v>-6.9199999998090789E-2</v>
      </c>
      <c r="O54">
        <f t="shared" ca="1" si="4"/>
        <v>-8.6887865160466218E-2</v>
      </c>
      <c r="Q54" s="2">
        <f t="shared" si="5"/>
        <v>28008.03</v>
      </c>
    </row>
    <row r="55" spans="1:18" x14ac:dyDescent="0.2">
      <c r="A55" s="31" t="s">
        <v>34</v>
      </c>
      <c r="B55" s="30" t="s">
        <v>33</v>
      </c>
      <c r="C55" s="31">
        <v>52501.04</v>
      </c>
      <c r="D55" s="28"/>
      <c r="E55">
        <f t="shared" si="0"/>
        <v>0</v>
      </c>
      <c r="F55">
        <f t="shared" si="1"/>
        <v>0</v>
      </c>
      <c r="G55">
        <f t="shared" si="2"/>
        <v>0</v>
      </c>
      <c r="H55">
        <f>+G55</f>
        <v>0</v>
      </c>
      <c r="O55">
        <f t="shared" ca="1" si="4"/>
        <v>-8.6008728314824853E-2</v>
      </c>
      <c r="Q55" s="2">
        <f t="shared" si="5"/>
        <v>37482.54</v>
      </c>
    </row>
    <row r="56" spans="1:18" x14ac:dyDescent="0.2">
      <c r="A56" s="28" t="s">
        <v>38</v>
      </c>
      <c r="B56" s="32" t="s">
        <v>33</v>
      </c>
      <c r="C56" s="28">
        <v>53985.4928</v>
      </c>
      <c r="D56" s="28">
        <v>1.5E-3</v>
      </c>
      <c r="E56">
        <f t="shared" si="0"/>
        <v>224.99208827184805</v>
      </c>
      <c r="F56">
        <f t="shared" si="1"/>
        <v>225</v>
      </c>
      <c r="G56">
        <f t="shared" si="2"/>
        <v>-5.2199999998265412E-2</v>
      </c>
      <c r="J56">
        <f>+G56</f>
        <v>-5.2199999998265412E-2</v>
      </c>
      <c r="O56">
        <f t="shared" ca="1" si="4"/>
        <v>-8.5870980550013354E-2</v>
      </c>
      <c r="Q56" s="2">
        <f t="shared" si="5"/>
        <v>38966.9928</v>
      </c>
      <c r="R56" s="49" t="s">
        <v>175</v>
      </c>
    </row>
    <row r="57" spans="1:18" x14ac:dyDescent="0.2">
      <c r="B57" s="3"/>
      <c r="C57" s="10"/>
      <c r="D57" s="10"/>
    </row>
    <row r="58" spans="1:18" x14ac:dyDescent="0.2">
      <c r="B58" s="3"/>
      <c r="C58" s="10"/>
      <c r="D58" s="10"/>
    </row>
    <row r="59" spans="1:18" x14ac:dyDescent="0.2">
      <c r="B59" s="3"/>
      <c r="C59" s="10"/>
      <c r="D59" s="10"/>
    </row>
    <row r="60" spans="1:18" x14ac:dyDescent="0.2">
      <c r="B60" s="3"/>
      <c r="C60" s="10"/>
      <c r="D60" s="10"/>
    </row>
    <row r="61" spans="1:18" x14ac:dyDescent="0.2">
      <c r="B61" s="3"/>
      <c r="C61" s="10"/>
      <c r="D61" s="10"/>
    </row>
    <row r="62" spans="1:18" x14ac:dyDescent="0.2">
      <c r="B62" s="3"/>
      <c r="C62" s="10"/>
      <c r="D62" s="10"/>
    </row>
    <row r="63" spans="1:18" x14ac:dyDescent="0.2">
      <c r="B63" s="3"/>
      <c r="C63" s="10"/>
      <c r="D63" s="10"/>
    </row>
    <row r="64" spans="1:18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B79" s="3"/>
      <c r="C79" s="10"/>
      <c r="D79" s="10"/>
    </row>
    <row r="80" spans="2:4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C106" s="10"/>
      <c r="D106" s="10"/>
    </row>
    <row r="107" spans="2:4" x14ac:dyDescent="0.2">
      <c r="C107" s="10"/>
      <c r="D107" s="10"/>
    </row>
    <row r="108" spans="2:4" x14ac:dyDescent="0.2">
      <c r="C108" s="10"/>
      <c r="D108" s="10"/>
    </row>
    <row r="109" spans="2:4" x14ac:dyDescent="0.2">
      <c r="C109" s="10"/>
      <c r="D109" s="10"/>
    </row>
    <row r="110" spans="2:4" x14ac:dyDescent="0.2">
      <c r="C110" s="10"/>
      <c r="D110" s="10"/>
    </row>
    <row r="111" spans="2:4" x14ac:dyDescent="0.2">
      <c r="C111" s="10"/>
      <c r="D111" s="10"/>
    </row>
    <row r="112" spans="2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8"/>
  <sheetViews>
    <sheetView workbookViewId="0">
      <selection activeCell="A12" sqref="A12:D45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39</v>
      </c>
      <c r="I1" s="34" t="s">
        <v>40</v>
      </c>
      <c r="J1" s="35" t="s">
        <v>41</v>
      </c>
    </row>
    <row r="2" spans="1:16" x14ac:dyDescent="0.2">
      <c r="I2" s="36" t="s">
        <v>42</v>
      </c>
      <c r="J2" s="37" t="s">
        <v>43</v>
      </c>
    </row>
    <row r="3" spans="1:16" x14ac:dyDescent="0.2">
      <c r="A3" s="38" t="s">
        <v>44</v>
      </c>
      <c r="I3" s="36" t="s">
        <v>45</v>
      </c>
      <c r="J3" s="37" t="s">
        <v>46</v>
      </c>
    </row>
    <row r="4" spans="1:16" x14ac:dyDescent="0.2">
      <c r="I4" s="36" t="s">
        <v>47</v>
      </c>
      <c r="J4" s="37" t="s">
        <v>46</v>
      </c>
    </row>
    <row r="5" spans="1:16" ht="13.5" thickBot="1" x14ac:dyDescent="0.25">
      <c r="I5" s="39" t="s">
        <v>48</v>
      </c>
      <c r="J5" s="40" t="s">
        <v>49</v>
      </c>
    </row>
    <row r="10" spans="1:16" ht="13.5" thickBot="1" x14ac:dyDescent="0.25"/>
    <row r="11" spans="1:16" ht="12.75" customHeight="1" thickBot="1" x14ac:dyDescent="0.25">
      <c r="A11" s="10" t="str">
        <f t="shared" ref="A11:A45" si="0">P11</f>
        <v>BAVM 183 </v>
      </c>
      <c r="B11" s="3" t="str">
        <f t="shared" ref="B11:B45" si="1">IF(H11=INT(H11),"I","II")</f>
        <v>I</v>
      </c>
      <c r="C11" s="10">
        <f t="shared" ref="C11:C45" si="2">1*G11</f>
        <v>53985.4928</v>
      </c>
      <c r="D11" s="12" t="str">
        <f t="shared" ref="D11:D45" si="3">VLOOKUP(F11,I$1:J$5,2,FALSE)</f>
        <v>vis</v>
      </c>
      <c r="E11" s="41">
        <f>VLOOKUP(C11,Active!C$21:E$973,3,FALSE)</f>
        <v>224.99208827184805</v>
      </c>
      <c r="F11" s="3" t="s">
        <v>48</v>
      </c>
      <c r="G11" s="12" t="str">
        <f t="shared" ref="G11:G45" si="4">MID(I11,3,LEN(I11)-3)</f>
        <v>53985.4928</v>
      </c>
      <c r="H11" s="10">
        <f t="shared" ref="H11:H45" si="5">1*K11</f>
        <v>2057</v>
      </c>
      <c r="I11" s="42" t="s">
        <v>168</v>
      </c>
      <c r="J11" s="43" t="s">
        <v>169</v>
      </c>
      <c r="K11" s="42">
        <v>2057</v>
      </c>
      <c r="L11" s="42" t="s">
        <v>170</v>
      </c>
      <c r="M11" s="43" t="s">
        <v>171</v>
      </c>
      <c r="N11" s="43" t="s">
        <v>172</v>
      </c>
      <c r="O11" s="44" t="s">
        <v>173</v>
      </c>
      <c r="P11" s="45" t="s">
        <v>174</v>
      </c>
    </row>
    <row r="12" spans="1:16" ht="12.75" customHeight="1" thickBot="1" x14ac:dyDescent="0.25">
      <c r="A12" s="10" t="str">
        <f t="shared" si="0"/>
        <v> PZ 22.222 </v>
      </c>
      <c r="B12" s="3" t="str">
        <f t="shared" si="1"/>
        <v>I</v>
      </c>
      <c r="C12" s="10">
        <f t="shared" si="2"/>
        <v>13461.43</v>
      </c>
      <c r="D12" s="12" t="str">
        <f t="shared" si="3"/>
        <v>vis</v>
      </c>
      <c r="E12" s="41">
        <f>VLOOKUP(C12,Active!C$21:E$973,3,FALSE)</f>
        <v>-5917.0647791688134</v>
      </c>
      <c r="F12" s="3" t="s">
        <v>48</v>
      </c>
      <c r="G12" s="12" t="str">
        <f t="shared" si="4"/>
        <v>13461.43</v>
      </c>
      <c r="H12" s="10">
        <f t="shared" si="5"/>
        <v>-4085</v>
      </c>
      <c r="I12" s="42" t="s">
        <v>51</v>
      </c>
      <c r="J12" s="43" t="s">
        <v>52</v>
      </c>
      <c r="K12" s="42">
        <v>-4085</v>
      </c>
      <c r="L12" s="42" t="s">
        <v>53</v>
      </c>
      <c r="M12" s="43" t="s">
        <v>54</v>
      </c>
      <c r="N12" s="43"/>
      <c r="O12" s="44" t="s">
        <v>55</v>
      </c>
      <c r="P12" s="44" t="s">
        <v>56</v>
      </c>
    </row>
    <row r="13" spans="1:16" ht="12.75" customHeight="1" thickBot="1" x14ac:dyDescent="0.25">
      <c r="A13" s="10" t="str">
        <f t="shared" si="0"/>
        <v> PZ 13.446 </v>
      </c>
      <c r="B13" s="3" t="str">
        <f t="shared" si="1"/>
        <v>I</v>
      </c>
      <c r="C13" s="10">
        <f t="shared" si="2"/>
        <v>14228.269</v>
      </c>
      <c r="D13" s="12" t="str">
        <f t="shared" si="3"/>
        <v>vis</v>
      </c>
      <c r="E13" s="41">
        <f>VLOOKUP(C13,Active!C$21:E$973,3,FALSE)</f>
        <v>-5800.8383097396099</v>
      </c>
      <c r="F13" s="3" t="s">
        <v>48</v>
      </c>
      <c r="G13" s="12" t="str">
        <f t="shared" si="4"/>
        <v>14228.269</v>
      </c>
      <c r="H13" s="10">
        <f t="shared" si="5"/>
        <v>-3969</v>
      </c>
      <c r="I13" s="42" t="s">
        <v>57</v>
      </c>
      <c r="J13" s="43" t="s">
        <v>58</v>
      </c>
      <c r="K13" s="42">
        <v>-3969</v>
      </c>
      <c r="L13" s="42" t="s">
        <v>59</v>
      </c>
      <c r="M13" s="43" t="s">
        <v>54</v>
      </c>
      <c r="N13" s="43"/>
      <c r="O13" s="44" t="s">
        <v>60</v>
      </c>
      <c r="P13" s="44" t="s">
        <v>61</v>
      </c>
    </row>
    <row r="14" spans="1:16" ht="12.75" customHeight="1" thickBot="1" x14ac:dyDescent="0.25">
      <c r="A14" s="10" t="str">
        <f t="shared" si="0"/>
        <v> PZ 22.222 </v>
      </c>
      <c r="B14" s="3" t="str">
        <f t="shared" si="1"/>
        <v>I</v>
      </c>
      <c r="C14" s="10">
        <f t="shared" si="2"/>
        <v>14431.4</v>
      </c>
      <c r="D14" s="12" t="str">
        <f t="shared" si="3"/>
        <v>vis</v>
      </c>
      <c r="E14" s="41">
        <f>VLOOKUP(C14,Active!C$21:E$973,3,FALSE)</f>
        <v>-5770.0506229349176</v>
      </c>
      <c r="F14" s="3" t="s">
        <v>48</v>
      </c>
      <c r="G14" s="12" t="str">
        <f t="shared" si="4"/>
        <v>14431.40</v>
      </c>
      <c r="H14" s="10">
        <f t="shared" si="5"/>
        <v>-3938</v>
      </c>
      <c r="I14" s="42" t="s">
        <v>62</v>
      </c>
      <c r="J14" s="43" t="s">
        <v>63</v>
      </c>
      <c r="K14" s="42">
        <v>-3938</v>
      </c>
      <c r="L14" s="42" t="s">
        <v>64</v>
      </c>
      <c r="M14" s="43" t="s">
        <v>54</v>
      </c>
      <c r="N14" s="43"/>
      <c r="O14" s="44" t="s">
        <v>55</v>
      </c>
      <c r="P14" s="44" t="s">
        <v>56</v>
      </c>
    </row>
    <row r="15" spans="1:16" ht="12.75" customHeight="1" thickBot="1" x14ac:dyDescent="0.25">
      <c r="A15" s="10" t="str">
        <f t="shared" si="0"/>
        <v> PZ 22.222 </v>
      </c>
      <c r="B15" s="3" t="str">
        <f t="shared" si="1"/>
        <v>I</v>
      </c>
      <c r="C15" s="10">
        <f t="shared" si="2"/>
        <v>14629.22</v>
      </c>
      <c r="D15" s="12" t="str">
        <f t="shared" si="3"/>
        <v>vis</v>
      </c>
      <c r="E15" s="41">
        <f>VLOOKUP(C15,Active!C$21:E$973,3,FALSE)</f>
        <v>-5740.0679014216857</v>
      </c>
      <c r="F15" s="3" t="s">
        <v>48</v>
      </c>
      <c r="G15" s="12" t="str">
        <f t="shared" si="4"/>
        <v>14629.22</v>
      </c>
      <c r="H15" s="10">
        <f t="shared" si="5"/>
        <v>-3908</v>
      </c>
      <c r="I15" s="42" t="s">
        <v>65</v>
      </c>
      <c r="J15" s="43" t="s">
        <v>66</v>
      </c>
      <c r="K15" s="42">
        <v>-3908</v>
      </c>
      <c r="L15" s="42" t="s">
        <v>67</v>
      </c>
      <c r="M15" s="43" t="s">
        <v>54</v>
      </c>
      <c r="N15" s="43"/>
      <c r="O15" s="44" t="s">
        <v>55</v>
      </c>
      <c r="P15" s="44" t="s">
        <v>56</v>
      </c>
    </row>
    <row r="16" spans="1:16" ht="12.75" customHeight="1" thickBot="1" x14ac:dyDescent="0.25">
      <c r="A16" s="10" t="str">
        <f t="shared" si="0"/>
        <v> PZ 13.446 </v>
      </c>
      <c r="B16" s="3" t="str">
        <f t="shared" si="1"/>
        <v>I</v>
      </c>
      <c r="C16" s="10">
        <f t="shared" si="2"/>
        <v>15257.35</v>
      </c>
      <c r="D16" s="12" t="str">
        <f t="shared" si="3"/>
        <v>vis</v>
      </c>
      <c r="E16" s="41">
        <f>VLOOKUP(C16,Active!C$21:E$973,3,FALSE)</f>
        <v>-5644.8649549849952</v>
      </c>
      <c r="F16" s="3" t="s">
        <v>48</v>
      </c>
      <c r="G16" s="12" t="str">
        <f t="shared" si="4"/>
        <v>15257.350</v>
      </c>
      <c r="H16" s="10">
        <f t="shared" si="5"/>
        <v>-3813</v>
      </c>
      <c r="I16" s="42" t="s">
        <v>68</v>
      </c>
      <c r="J16" s="43" t="s">
        <v>69</v>
      </c>
      <c r="K16" s="42">
        <v>-3813</v>
      </c>
      <c r="L16" s="42" t="s">
        <v>70</v>
      </c>
      <c r="M16" s="43" t="s">
        <v>54</v>
      </c>
      <c r="N16" s="43"/>
      <c r="O16" s="44" t="s">
        <v>60</v>
      </c>
      <c r="P16" s="44" t="s">
        <v>61</v>
      </c>
    </row>
    <row r="17" spans="1:16" ht="12.75" customHeight="1" thickBot="1" x14ac:dyDescent="0.25">
      <c r="A17" s="10" t="str">
        <f t="shared" si="0"/>
        <v> PZ 22.222 </v>
      </c>
      <c r="B17" s="3" t="str">
        <f t="shared" si="1"/>
        <v>I</v>
      </c>
      <c r="C17" s="10">
        <f t="shared" si="2"/>
        <v>28722.400000000001</v>
      </c>
      <c r="D17" s="12" t="str">
        <f t="shared" si="3"/>
        <v>vis</v>
      </c>
      <c r="E17" s="41">
        <f>VLOOKUP(C17,Active!C$21:E$973,3,FALSE)</f>
        <v>-3604.0255842856709</v>
      </c>
      <c r="F17" s="3" t="s">
        <v>48</v>
      </c>
      <c r="G17" s="12" t="str">
        <f t="shared" si="4"/>
        <v>28722.40</v>
      </c>
      <c r="H17" s="10">
        <f t="shared" si="5"/>
        <v>-1772</v>
      </c>
      <c r="I17" s="42" t="s">
        <v>71</v>
      </c>
      <c r="J17" s="43" t="s">
        <v>72</v>
      </c>
      <c r="K17" s="42">
        <v>-1772</v>
      </c>
      <c r="L17" s="42" t="s">
        <v>73</v>
      </c>
      <c r="M17" s="43" t="s">
        <v>54</v>
      </c>
      <c r="N17" s="43"/>
      <c r="O17" s="44" t="s">
        <v>55</v>
      </c>
      <c r="P17" s="44" t="s">
        <v>56</v>
      </c>
    </row>
    <row r="18" spans="1:16" ht="12.75" customHeight="1" thickBot="1" x14ac:dyDescent="0.25">
      <c r="A18" s="10" t="str">
        <f t="shared" si="0"/>
        <v> PZ 13.445 </v>
      </c>
      <c r="B18" s="3" t="str">
        <f t="shared" si="1"/>
        <v>I</v>
      </c>
      <c r="C18" s="10">
        <f t="shared" si="2"/>
        <v>28749.153999999999</v>
      </c>
      <c r="D18" s="12" t="str">
        <f t="shared" si="3"/>
        <v>vis</v>
      </c>
      <c r="E18" s="41">
        <f>VLOOKUP(C18,Active!C$21:E$973,3,FALSE)</f>
        <v>-3599.9705962593594</v>
      </c>
      <c r="F18" s="3" t="s">
        <v>48</v>
      </c>
      <c r="G18" s="12" t="str">
        <f t="shared" si="4"/>
        <v>28749.154</v>
      </c>
      <c r="H18" s="10">
        <f t="shared" si="5"/>
        <v>-1768</v>
      </c>
      <c r="I18" s="42" t="s">
        <v>74</v>
      </c>
      <c r="J18" s="43" t="s">
        <v>75</v>
      </c>
      <c r="K18" s="42">
        <v>-1768</v>
      </c>
      <c r="L18" s="42" t="s">
        <v>76</v>
      </c>
      <c r="M18" s="43" t="s">
        <v>50</v>
      </c>
      <c r="N18" s="43"/>
      <c r="O18" s="44" t="s">
        <v>60</v>
      </c>
      <c r="P18" s="44" t="s">
        <v>77</v>
      </c>
    </row>
    <row r="19" spans="1:16" ht="12.75" customHeight="1" thickBot="1" x14ac:dyDescent="0.25">
      <c r="A19" s="10" t="str">
        <f t="shared" si="0"/>
        <v> PZ 22.222 </v>
      </c>
      <c r="B19" s="3" t="str">
        <f t="shared" si="1"/>
        <v>I</v>
      </c>
      <c r="C19" s="10">
        <f t="shared" si="2"/>
        <v>28755.360000000001</v>
      </c>
      <c r="D19" s="12" t="str">
        <f t="shared" si="3"/>
        <v>vis</v>
      </c>
      <c r="E19" s="41">
        <f>VLOOKUP(C19,Active!C$21:E$973,3,FALSE)</f>
        <v>-3599.0299796901995</v>
      </c>
      <c r="F19" s="3" t="s">
        <v>48</v>
      </c>
      <c r="G19" s="12" t="str">
        <f t="shared" si="4"/>
        <v>28755.36</v>
      </c>
      <c r="H19" s="10">
        <f t="shared" si="5"/>
        <v>-1767</v>
      </c>
      <c r="I19" s="42" t="s">
        <v>78</v>
      </c>
      <c r="J19" s="43" t="s">
        <v>79</v>
      </c>
      <c r="K19" s="42">
        <v>-1767</v>
      </c>
      <c r="L19" s="42" t="s">
        <v>80</v>
      </c>
      <c r="M19" s="43" t="s">
        <v>54</v>
      </c>
      <c r="N19" s="43"/>
      <c r="O19" s="44" t="s">
        <v>55</v>
      </c>
      <c r="P19" s="44" t="s">
        <v>56</v>
      </c>
    </row>
    <row r="20" spans="1:16" ht="12.75" customHeight="1" thickBot="1" x14ac:dyDescent="0.25">
      <c r="A20" s="10" t="str">
        <f t="shared" si="0"/>
        <v> PZ 22.222 </v>
      </c>
      <c r="B20" s="3" t="str">
        <f t="shared" si="1"/>
        <v>I</v>
      </c>
      <c r="C20" s="10">
        <f t="shared" si="2"/>
        <v>29118.34</v>
      </c>
      <c r="D20" s="12" t="str">
        <f t="shared" si="3"/>
        <v>vis</v>
      </c>
      <c r="E20" s="41">
        <f>VLOOKUP(C20,Active!C$21:E$973,3,FALSE)</f>
        <v>-3544.0146715571855</v>
      </c>
      <c r="F20" s="3" t="s">
        <v>48</v>
      </c>
      <c r="G20" s="12" t="str">
        <f t="shared" si="4"/>
        <v>29118.34</v>
      </c>
      <c r="H20" s="10">
        <f t="shared" si="5"/>
        <v>-1712</v>
      </c>
      <c r="I20" s="42" t="s">
        <v>81</v>
      </c>
      <c r="J20" s="43" t="s">
        <v>82</v>
      </c>
      <c r="K20" s="42">
        <v>-1712</v>
      </c>
      <c r="L20" s="42" t="s">
        <v>83</v>
      </c>
      <c r="M20" s="43" t="s">
        <v>54</v>
      </c>
      <c r="N20" s="43"/>
      <c r="O20" s="44" t="s">
        <v>55</v>
      </c>
      <c r="P20" s="44" t="s">
        <v>56</v>
      </c>
    </row>
    <row r="21" spans="1:16" ht="12.75" customHeight="1" thickBot="1" x14ac:dyDescent="0.25">
      <c r="A21" s="10" t="str">
        <f t="shared" si="0"/>
        <v> PZ 22.222 </v>
      </c>
      <c r="B21" s="3" t="str">
        <f t="shared" si="1"/>
        <v>I</v>
      </c>
      <c r="C21" s="10">
        <f t="shared" si="2"/>
        <v>29461.4</v>
      </c>
      <c r="D21" s="12" t="str">
        <f t="shared" si="3"/>
        <v>vis</v>
      </c>
      <c r="E21" s="41">
        <f>VLOOKUP(C21,Active!C$21:E$973,3,FALSE)</f>
        <v>-3492.0185516384245</v>
      </c>
      <c r="F21" s="3" t="s">
        <v>48</v>
      </c>
      <c r="G21" s="12" t="str">
        <f t="shared" si="4"/>
        <v>29461.40</v>
      </c>
      <c r="H21" s="10">
        <f t="shared" si="5"/>
        <v>-1660</v>
      </c>
      <c r="I21" s="42" t="s">
        <v>84</v>
      </c>
      <c r="J21" s="43" t="s">
        <v>85</v>
      </c>
      <c r="K21" s="42">
        <v>-1660</v>
      </c>
      <c r="L21" s="42" t="s">
        <v>86</v>
      </c>
      <c r="M21" s="43" t="s">
        <v>54</v>
      </c>
      <c r="N21" s="43"/>
      <c r="O21" s="44" t="s">
        <v>55</v>
      </c>
      <c r="P21" s="44" t="s">
        <v>56</v>
      </c>
    </row>
    <row r="22" spans="1:16" ht="12.75" customHeight="1" thickBot="1" x14ac:dyDescent="0.25">
      <c r="A22" s="10" t="str">
        <f t="shared" si="0"/>
        <v> PZ 13.445 </v>
      </c>
      <c r="B22" s="3" t="str">
        <f t="shared" si="1"/>
        <v>I</v>
      </c>
      <c r="C22" s="10">
        <f t="shared" si="2"/>
        <v>29553.985000000001</v>
      </c>
      <c r="D22" s="12" t="str">
        <f t="shared" si="3"/>
        <v>vis</v>
      </c>
      <c r="E22" s="41">
        <f>VLOOKUP(C22,Active!C$21:E$973,3,FALSE)</f>
        <v>-3477.9858437661037</v>
      </c>
      <c r="F22" s="3" t="s">
        <v>48</v>
      </c>
      <c r="G22" s="12" t="str">
        <f t="shared" si="4"/>
        <v>29553.985</v>
      </c>
      <c r="H22" s="10">
        <f t="shared" si="5"/>
        <v>-1646</v>
      </c>
      <c r="I22" s="42" t="s">
        <v>87</v>
      </c>
      <c r="J22" s="43" t="s">
        <v>88</v>
      </c>
      <c r="K22" s="42">
        <v>-1646</v>
      </c>
      <c r="L22" s="42" t="s">
        <v>89</v>
      </c>
      <c r="M22" s="43" t="s">
        <v>50</v>
      </c>
      <c r="N22" s="43"/>
      <c r="O22" s="44" t="s">
        <v>60</v>
      </c>
      <c r="P22" s="44" t="s">
        <v>77</v>
      </c>
    </row>
    <row r="23" spans="1:16" ht="12.75" customHeight="1" thickBot="1" x14ac:dyDescent="0.25">
      <c r="A23" s="10" t="str">
        <f t="shared" si="0"/>
        <v> APJ 114.477 </v>
      </c>
      <c r="B23" s="3" t="str">
        <f t="shared" si="1"/>
        <v>I</v>
      </c>
      <c r="C23" s="10">
        <f t="shared" si="2"/>
        <v>32747.167000000001</v>
      </c>
      <c r="D23" s="12" t="str">
        <f t="shared" si="3"/>
        <v>vis</v>
      </c>
      <c r="E23" s="41">
        <f>VLOOKUP(C23,Active!C$21:E$973,3,FALSE)</f>
        <v>-2994.0090636272694</v>
      </c>
      <c r="F23" s="3" t="s">
        <v>48</v>
      </c>
      <c r="G23" s="12" t="str">
        <f t="shared" si="4"/>
        <v>32747.167</v>
      </c>
      <c r="H23" s="10">
        <f t="shared" si="5"/>
        <v>-1162</v>
      </c>
      <c r="I23" s="42" t="s">
        <v>90</v>
      </c>
      <c r="J23" s="43" t="s">
        <v>91</v>
      </c>
      <c r="K23" s="42">
        <v>-1162</v>
      </c>
      <c r="L23" s="42" t="s">
        <v>92</v>
      </c>
      <c r="M23" s="43" t="s">
        <v>50</v>
      </c>
      <c r="N23" s="43"/>
      <c r="O23" s="44" t="s">
        <v>93</v>
      </c>
      <c r="P23" s="44" t="s">
        <v>94</v>
      </c>
    </row>
    <row r="24" spans="1:16" ht="12.75" customHeight="1" thickBot="1" x14ac:dyDescent="0.25">
      <c r="A24" s="10" t="str">
        <f t="shared" si="0"/>
        <v> PZ 22.222 </v>
      </c>
      <c r="B24" s="3" t="str">
        <f t="shared" si="1"/>
        <v>I</v>
      </c>
      <c r="C24" s="10">
        <f t="shared" si="2"/>
        <v>33954.36</v>
      </c>
      <c r="D24" s="12" t="str">
        <f t="shared" si="3"/>
        <v>vis</v>
      </c>
      <c r="E24" s="41">
        <f>VLOOKUP(C24,Active!C$21:E$973,3,FALSE)</f>
        <v>-2811.040043650914</v>
      </c>
      <c r="F24" s="3" t="s">
        <v>48</v>
      </c>
      <c r="G24" s="12" t="str">
        <f t="shared" si="4"/>
        <v>33954.36</v>
      </c>
      <c r="H24" s="10">
        <f t="shared" si="5"/>
        <v>-979</v>
      </c>
      <c r="I24" s="42" t="s">
        <v>95</v>
      </c>
      <c r="J24" s="43" t="s">
        <v>96</v>
      </c>
      <c r="K24" s="42">
        <v>-979</v>
      </c>
      <c r="L24" s="42" t="s">
        <v>97</v>
      </c>
      <c r="M24" s="43" t="s">
        <v>54</v>
      </c>
      <c r="N24" s="43"/>
      <c r="O24" s="44" t="s">
        <v>55</v>
      </c>
      <c r="P24" s="44" t="s">
        <v>56</v>
      </c>
    </row>
    <row r="25" spans="1:16" ht="12.75" customHeight="1" thickBot="1" x14ac:dyDescent="0.25">
      <c r="A25" s="10" t="str">
        <f t="shared" si="0"/>
        <v> PASP 65.141 </v>
      </c>
      <c r="B25" s="3" t="str">
        <f t="shared" si="1"/>
        <v>I</v>
      </c>
      <c r="C25" s="10">
        <f t="shared" si="2"/>
        <v>34218.463000000003</v>
      </c>
      <c r="D25" s="12" t="str">
        <f t="shared" si="3"/>
        <v>vis</v>
      </c>
      <c r="E25" s="41">
        <f>VLOOKUP(C25,Active!C$21:E$973,3,FALSE)</f>
        <v>-2771.0110946072928</v>
      </c>
      <c r="F25" s="3" t="s">
        <v>48</v>
      </c>
      <c r="G25" s="12" t="str">
        <f t="shared" si="4"/>
        <v>34218.463</v>
      </c>
      <c r="H25" s="10">
        <f t="shared" si="5"/>
        <v>-939</v>
      </c>
      <c r="I25" s="42" t="s">
        <v>98</v>
      </c>
      <c r="J25" s="43" t="s">
        <v>99</v>
      </c>
      <c r="K25" s="42">
        <v>-939</v>
      </c>
      <c r="L25" s="42" t="s">
        <v>100</v>
      </c>
      <c r="M25" s="43" t="s">
        <v>101</v>
      </c>
      <c r="N25" s="43" t="s">
        <v>102</v>
      </c>
      <c r="O25" s="44" t="s">
        <v>103</v>
      </c>
      <c r="P25" s="44" t="s">
        <v>104</v>
      </c>
    </row>
    <row r="26" spans="1:16" ht="12.75" customHeight="1" thickBot="1" x14ac:dyDescent="0.25">
      <c r="A26" s="10" t="str">
        <f t="shared" si="0"/>
        <v> PZ 13.445 </v>
      </c>
      <c r="B26" s="3" t="str">
        <f t="shared" si="1"/>
        <v>I</v>
      </c>
      <c r="C26" s="10">
        <f t="shared" si="2"/>
        <v>34264.849000000002</v>
      </c>
      <c r="D26" s="12" t="str">
        <f t="shared" si="3"/>
        <v>vis</v>
      </c>
      <c r="E26" s="41">
        <f>VLOOKUP(C26,Active!C$21:E$973,3,FALSE)</f>
        <v>-2763.980569280669</v>
      </c>
      <c r="F26" s="3" t="s">
        <v>48</v>
      </c>
      <c r="G26" s="12" t="str">
        <f t="shared" si="4"/>
        <v>34264.849</v>
      </c>
      <c r="H26" s="10">
        <f t="shared" si="5"/>
        <v>-932</v>
      </c>
      <c r="I26" s="42" t="s">
        <v>105</v>
      </c>
      <c r="J26" s="43" t="s">
        <v>106</v>
      </c>
      <c r="K26" s="42">
        <v>-932</v>
      </c>
      <c r="L26" s="42" t="s">
        <v>107</v>
      </c>
      <c r="M26" s="43" t="s">
        <v>50</v>
      </c>
      <c r="N26" s="43"/>
      <c r="O26" s="44" t="s">
        <v>60</v>
      </c>
      <c r="P26" s="44" t="s">
        <v>77</v>
      </c>
    </row>
    <row r="27" spans="1:16" ht="12.75" customHeight="1" thickBot="1" x14ac:dyDescent="0.25">
      <c r="A27" s="10" t="str">
        <f t="shared" si="0"/>
        <v> PZ 22.222 </v>
      </c>
      <c r="B27" s="3" t="str">
        <f t="shared" si="1"/>
        <v>I</v>
      </c>
      <c r="C27" s="10">
        <f t="shared" si="2"/>
        <v>35333.449999999997</v>
      </c>
      <c r="D27" s="12" t="str">
        <f t="shared" si="3"/>
        <v>vis</v>
      </c>
      <c r="E27" s="41">
        <f>VLOOKUP(C27,Active!C$21:E$973,3,FALSE)</f>
        <v>-2602.0173391130379</v>
      </c>
      <c r="F27" s="3" t="s">
        <v>48</v>
      </c>
      <c r="G27" s="12" t="str">
        <f t="shared" si="4"/>
        <v>35333.45</v>
      </c>
      <c r="H27" s="10">
        <f t="shared" si="5"/>
        <v>-770</v>
      </c>
      <c r="I27" s="42" t="s">
        <v>108</v>
      </c>
      <c r="J27" s="43" t="s">
        <v>109</v>
      </c>
      <c r="K27" s="42">
        <v>-770</v>
      </c>
      <c r="L27" s="42" t="s">
        <v>110</v>
      </c>
      <c r="M27" s="43" t="s">
        <v>54</v>
      </c>
      <c r="N27" s="43"/>
      <c r="O27" s="44" t="s">
        <v>55</v>
      </c>
      <c r="P27" s="44" t="s">
        <v>56</v>
      </c>
    </row>
    <row r="28" spans="1:16" ht="12.75" customHeight="1" thickBot="1" x14ac:dyDescent="0.25">
      <c r="A28" s="10" t="str">
        <f t="shared" si="0"/>
        <v> MSAI 40.398 </v>
      </c>
      <c r="B28" s="3" t="str">
        <f t="shared" si="1"/>
        <v>I</v>
      </c>
      <c r="C28" s="10">
        <f t="shared" si="2"/>
        <v>37253.21</v>
      </c>
      <c r="D28" s="12" t="str">
        <f t="shared" si="3"/>
        <v>vis</v>
      </c>
      <c r="E28" s="41">
        <f>VLOOKUP(C28,Active!C$21:E$973,3,FALSE)</f>
        <v>-2311.0476219345842</v>
      </c>
      <c r="F28" s="3" t="s">
        <v>48</v>
      </c>
      <c r="G28" s="12" t="str">
        <f t="shared" si="4"/>
        <v>37253.21</v>
      </c>
      <c r="H28" s="10">
        <f t="shared" si="5"/>
        <v>-479</v>
      </c>
      <c r="I28" s="42" t="s">
        <v>111</v>
      </c>
      <c r="J28" s="43" t="s">
        <v>112</v>
      </c>
      <c r="K28" s="42">
        <v>-479</v>
      </c>
      <c r="L28" s="42" t="s">
        <v>113</v>
      </c>
      <c r="M28" s="43" t="s">
        <v>54</v>
      </c>
      <c r="N28" s="43"/>
      <c r="O28" s="44" t="s">
        <v>114</v>
      </c>
      <c r="P28" s="44" t="s">
        <v>115</v>
      </c>
    </row>
    <row r="29" spans="1:16" ht="12.75" customHeight="1" thickBot="1" x14ac:dyDescent="0.25">
      <c r="A29" s="10" t="str">
        <f t="shared" si="0"/>
        <v> HABZ 23 </v>
      </c>
      <c r="B29" s="3" t="str">
        <f t="shared" si="1"/>
        <v>I</v>
      </c>
      <c r="C29" s="10">
        <f t="shared" si="2"/>
        <v>37253.275999999998</v>
      </c>
      <c r="D29" s="12" t="str">
        <f t="shared" si="3"/>
        <v>vis</v>
      </c>
      <c r="E29" s="41">
        <f>VLOOKUP(C29,Active!C$21:E$973,3,FALSE)</f>
        <v>-2311.0376186001399</v>
      </c>
      <c r="F29" s="3" t="s">
        <v>48</v>
      </c>
      <c r="G29" s="12" t="str">
        <f t="shared" si="4"/>
        <v>37253.276</v>
      </c>
      <c r="H29" s="10">
        <f t="shared" si="5"/>
        <v>-479</v>
      </c>
      <c r="I29" s="42" t="s">
        <v>116</v>
      </c>
      <c r="J29" s="43" t="s">
        <v>117</v>
      </c>
      <c r="K29" s="42">
        <v>-479</v>
      </c>
      <c r="L29" s="42" t="s">
        <v>118</v>
      </c>
      <c r="M29" s="43" t="s">
        <v>54</v>
      </c>
      <c r="N29" s="43"/>
      <c r="O29" s="44" t="s">
        <v>119</v>
      </c>
      <c r="P29" s="44" t="s">
        <v>120</v>
      </c>
    </row>
    <row r="30" spans="1:16" ht="12.75" customHeight="1" thickBot="1" x14ac:dyDescent="0.25">
      <c r="A30" s="10" t="str">
        <f t="shared" si="0"/>
        <v> MSAI 40.398 </v>
      </c>
      <c r="B30" s="3" t="str">
        <f t="shared" si="1"/>
        <v>I</v>
      </c>
      <c r="C30" s="10">
        <f t="shared" si="2"/>
        <v>37464.480000000003</v>
      </c>
      <c r="D30" s="12" t="str">
        <f t="shared" si="3"/>
        <v>vis</v>
      </c>
      <c r="E30" s="41">
        <f>VLOOKUP(C30,Active!C$21:E$973,3,FALSE)</f>
        <v>-2279.0263421140376</v>
      </c>
      <c r="F30" s="3" t="s">
        <v>48</v>
      </c>
      <c r="G30" s="12" t="str">
        <f t="shared" si="4"/>
        <v>37464.48</v>
      </c>
      <c r="H30" s="10">
        <f t="shared" si="5"/>
        <v>-447</v>
      </c>
      <c r="I30" s="42" t="s">
        <v>121</v>
      </c>
      <c r="J30" s="43" t="s">
        <v>122</v>
      </c>
      <c r="K30" s="42">
        <v>-447</v>
      </c>
      <c r="L30" s="42" t="s">
        <v>123</v>
      </c>
      <c r="M30" s="43" t="s">
        <v>54</v>
      </c>
      <c r="N30" s="43"/>
      <c r="O30" s="44" t="s">
        <v>114</v>
      </c>
      <c r="P30" s="44" t="s">
        <v>115</v>
      </c>
    </row>
    <row r="31" spans="1:16" ht="12.75" customHeight="1" thickBot="1" x14ac:dyDescent="0.25">
      <c r="A31" s="10" t="str">
        <f t="shared" si="0"/>
        <v> MSAI 40.398 </v>
      </c>
      <c r="B31" s="3" t="str">
        <f t="shared" si="1"/>
        <v>I</v>
      </c>
      <c r="C31" s="10">
        <f t="shared" si="2"/>
        <v>37497.519999999997</v>
      </c>
      <c r="D31" s="12" t="str">
        <f t="shared" si="3"/>
        <v>vis</v>
      </c>
      <c r="E31" s="41">
        <f>VLOOKUP(C31,Active!C$21:E$973,3,FALSE)</f>
        <v>-2274.0186122646946</v>
      </c>
      <c r="F31" s="3" t="s">
        <v>48</v>
      </c>
      <c r="G31" s="12" t="str">
        <f t="shared" si="4"/>
        <v>37497.52</v>
      </c>
      <c r="H31" s="10">
        <f t="shared" si="5"/>
        <v>-442</v>
      </c>
      <c r="I31" s="42" t="s">
        <v>124</v>
      </c>
      <c r="J31" s="43" t="s">
        <v>125</v>
      </c>
      <c r="K31" s="42">
        <v>-442</v>
      </c>
      <c r="L31" s="42" t="s">
        <v>110</v>
      </c>
      <c r="M31" s="43" t="s">
        <v>54</v>
      </c>
      <c r="N31" s="43"/>
      <c r="O31" s="44" t="s">
        <v>114</v>
      </c>
      <c r="P31" s="44" t="s">
        <v>115</v>
      </c>
    </row>
    <row r="32" spans="1:16" ht="12.75" customHeight="1" thickBot="1" x14ac:dyDescent="0.25">
      <c r="A32" s="10" t="str">
        <f t="shared" si="0"/>
        <v> MSAI 40.398 </v>
      </c>
      <c r="B32" s="3" t="str">
        <f t="shared" si="1"/>
        <v>I</v>
      </c>
      <c r="C32" s="10">
        <f t="shared" si="2"/>
        <v>37517.42</v>
      </c>
      <c r="D32" s="12" t="str">
        <f t="shared" si="3"/>
        <v>vis</v>
      </c>
      <c r="E32" s="41">
        <f>VLOOKUP(C32,Active!C$21:E$973,3,FALSE)</f>
        <v>-2271.0024553639096</v>
      </c>
      <c r="F32" s="3" t="s">
        <v>48</v>
      </c>
      <c r="G32" s="12" t="str">
        <f t="shared" si="4"/>
        <v>37517.42</v>
      </c>
      <c r="H32" s="10">
        <f t="shared" si="5"/>
        <v>-439</v>
      </c>
      <c r="I32" s="42" t="s">
        <v>126</v>
      </c>
      <c r="J32" s="43" t="s">
        <v>127</v>
      </c>
      <c r="K32" s="42">
        <v>-439</v>
      </c>
      <c r="L32" s="42" t="s">
        <v>128</v>
      </c>
      <c r="M32" s="43" t="s">
        <v>54</v>
      </c>
      <c r="N32" s="43"/>
      <c r="O32" s="44" t="s">
        <v>114</v>
      </c>
      <c r="P32" s="44" t="s">
        <v>115</v>
      </c>
    </row>
    <row r="33" spans="1:16" ht="12.75" customHeight="1" thickBot="1" x14ac:dyDescent="0.25">
      <c r="A33" s="10" t="str">
        <f t="shared" si="0"/>
        <v> MSAI 40.398 </v>
      </c>
      <c r="B33" s="3" t="str">
        <f t="shared" si="1"/>
        <v>I</v>
      </c>
      <c r="C33" s="10">
        <f t="shared" si="2"/>
        <v>37530.480000000003</v>
      </c>
      <c r="D33" s="12" t="str">
        <f t="shared" si="3"/>
        <v>vis</v>
      </c>
      <c r="E33" s="41">
        <f>VLOOKUP(C33,Active!C$21:E$973,3,FALSE)</f>
        <v>-2269.0230076692228</v>
      </c>
      <c r="F33" s="3" t="s">
        <v>48</v>
      </c>
      <c r="G33" s="12" t="str">
        <f t="shared" si="4"/>
        <v>37530.48</v>
      </c>
      <c r="H33" s="10">
        <f t="shared" si="5"/>
        <v>-437</v>
      </c>
      <c r="I33" s="42" t="s">
        <v>129</v>
      </c>
      <c r="J33" s="43" t="s">
        <v>130</v>
      </c>
      <c r="K33" s="42">
        <v>-437</v>
      </c>
      <c r="L33" s="42" t="s">
        <v>131</v>
      </c>
      <c r="M33" s="43" t="s">
        <v>54</v>
      </c>
      <c r="N33" s="43"/>
      <c r="O33" s="44" t="s">
        <v>114</v>
      </c>
      <c r="P33" s="44" t="s">
        <v>115</v>
      </c>
    </row>
    <row r="34" spans="1:16" ht="12.75" customHeight="1" thickBot="1" x14ac:dyDescent="0.25">
      <c r="A34" s="10" t="str">
        <f t="shared" si="0"/>
        <v> MSAI 40.398 </v>
      </c>
      <c r="B34" s="3" t="str">
        <f t="shared" si="1"/>
        <v>I</v>
      </c>
      <c r="C34" s="10">
        <f t="shared" si="2"/>
        <v>37550.46</v>
      </c>
      <c r="D34" s="12" t="str">
        <f t="shared" si="3"/>
        <v>vis</v>
      </c>
      <c r="E34" s="41">
        <f>VLOOKUP(C34,Active!C$21:E$973,3,FALSE)</f>
        <v>-2265.9947255145657</v>
      </c>
      <c r="F34" s="3" t="s">
        <v>48</v>
      </c>
      <c r="G34" s="12" t="str">
        <f t="shared" si="4"/>
        <v>37550.46</v>
      </c>
      <c r="H34" s="10">
        <f t="shared" si="5"/>
        <v>-434</v>
      </c>
      <c r="I34" s="42" t="s">
        <v>132</v>
      </c>
      <c r="J34" s="43" t="s">
        <v>133</v>
      </c>
      <c r="K34" s="42">
        <v>-434</v>
      </c>
      <c r="L34" s="42" t="s">
        <v>134</v>
      </c>
      <c r="M34" s="43" t="s">
        <v>54</v>
      </c>
      <c r="N34" s="43"/>
      <c r="O34" s="44" t="s">
        <v>114</v>
      </c>
      <c r="P34" s="44" t="s">
        <v>115</v>
      </c>
    </row>
    <row r="35" spans="1:16" ht="12.75" customHeight="1" thickBot="1" x14ac:dyDescent="0.25">
      <c r="A35" s="10" t="str">
        <f t="shared" si="0"/>
        <v> MSAI 40.398 </v>
      </c>
      <c r="B35" s="3" t="str">
        <f t="shared" si="1"/>
        <v>I</v>
      </c>
      <c r="C35" s="10">
        <f t="shared" si="2"/>
        <v>37563.53</v>
      </c>
      <c r="D35" s="12" t="str">
        <f t="shared" si="3"/>
        <v>vis</v>
      </c>
      <c r="E35" s="41">
        <f>VLOOKUP(C35,Active!C$21:E$973,3,FALSE)</f>
        <v>-2264.0137621631457</v>
      </c>
      <c r="F35" s="3" t="s">
        <v>48</v>
      </c>
      <c r="G35" s="12" t="str">
        <f t="shared" si="4"/>
        <v>37563.53</v>
      </c>
      <c r="H35" s="10">
        <f t="shared" si="5"/>
        <v>-432</v>
      </c>
      <c r="I35" s="42" t="s">
        <v>135</v>
      </c>
      <c r="J35" s="43" t="s">
        <v>136</v>
      </c>
      <c r="K35" s="42">
        <v>-432</v>
      </c>
      <c r="L35" s="42" t="s">
        <v>137</v>
      </c>
      <c r="M35" s="43" t="s">
        <v>54</v>
      </c>
      <c r="N35" s="43"/>
      <c r="O35" s="44" t="s">
        <v>114</v>
      </c>
      <c r="P35" s="44" t="s">
        <v>115</v>
      </c>
    </row>
    <row r="36" spans="1:16" ht="12.75" customHeight="1" thickBot="1" x14ac:dyDescent="0.25">
      <c r="A36" s="10" t="str">
        <f t="shared" si="0"/>
        <v> MSAI 40.398 </v>
      </c>
      <c r="B36" s="3" t="str">
        <f t="shared" si="1"/>
        <v>I</v>
      </c>
      <c r="C36" s="10">
        <f t="shared" si="2"/>
        <v>37583.35</v>
      </c>
      <c r="D36" s="12" t="str">
        <f t="shared" si="3"/>
        <v>vis</v>
      </c>
      <c r="E36" s="41">
        <f>VLOOKUP(C36,Active!C$21:E$973,3,FALSE)</f>
        <v>-2261.009730516233</v>
      </c>
      <c r="F36" s="3" t="s">
        <v>48</v>
      </c>
      <c r="G36" s="12" t="str">
        <f t="shared" si="4"/>
        <v>37583.35</v>
      </c>
      <c r="H36" s="10">
        <f t="shared" si="5"/>
        <v>-429</v>
      </c>
      <c r="I36" s="42" t="s">
        <v>138</v>
      </c>
      <c r="J36" s="43" t="s">
        <v>139</v>
      </c>
      <c r="K36" s="42">
        <v>-429</v>
      </c>
      <c r="L36" s="42" t="s">
        <v>140</v>
      </c>
      <c r="M36" s="43" t="s">
        <v>54</v>
      </c>
      <c r="N36" s="43"/>
      <c r="O36" s="44" t="s">
        <v>114</v>
      </c>
      <c r="P36" s="44" t="s">
        <v>115</v>
      </c>
    </row>
    <row r="37" spans="1:16" ht="12.75" customHeight="1" thickBot="1" x14ac:dyDescent="0.25">
      <c r="A37" s="10" t="str">
        <f t="shared" si="0"/>
        <v> HABZ 23 </v>
      </c>
      <c r="B37" s="3" t="str">
        <f t="shared" si="1"/>
        <v>I</v>
      </c>
      <c r="C37" s="10">
        <f t="shared" si="2"/>
        <v>37583.368999999999</v>
      </c>
      <c r="D37" s="12" t="str">
        <f t="shared" si="3"/>
        <v>vis</v>
      </c>
      <c r="E37" s="41">
        <f>VLOOKUP(C37,Active!C$21:E$973,3,FALSE)</f>
        <v>-2261.0068507684382</v>
      </c>
      <c r="F37" s="3" t="s">
        <v>48</v>
      </c>
      <c r="G37" s="12" t="str">
        <f t="shared" si="4"/>
        <v>37583.369</v>
      </c>
      <c r="H37" s="10">
        <f t="shared" si="5"/>
        <v>-429</v>
      </c>
      <c r="I37" s="42" t="s">
        <v>141</v>
      </c>
      <c r="J37" s="43" t="s">
        <v>142</v>
      </c>
      <c r="K37" s="42">
        <v>-429</v>
      </c>
      <c r="L37" s="42" t="s">
        <v>143</v>
      </c>
      <c r="M37" s="43" t="s">
        <v>54</v>
      </c>
      <c r="N37" s="43"/>
      <c r="O37" s="44" t="s">
        <v>119</v>
      </c>
      <c r="P37" s="44" t="s">
        <v>120</v>
      </c>
    </row>
    <row r="38" spans="1:16" ht="12.75" customHeight="1" thickBot="1" x14ac:dyDescent="0.25">
      <c r="A38" s="10" t="str">
        <f t="shared" si="0"/>
        <v> MSAI 40.398 </v>
      </c>
      <c r="B38" s="3" t="str">
        <f t="shared" si="1"/>
        <v>I</v>
      </c>
      <c r="C38" s="10">
        <f t="shared" si="2"/>
        <v>37853.550000000003</v>
      </c>
      <c r="D38" s="12" t="str">
        <f t="shared" si="3"/>
        <v>vis</v>
      </c>
      <c r="E38" s="41">
        <f>VLOOKUP(C38,Active!C$21:E$973,3,FALSE)</f>
        <v>-2220.0566855618536</v>
      </c>
      <c r="F38" s="3" t="s">
        <v>48</v>
      </c>
      <c r="G38" s="12" t="str">
        <f t="shared" si="4"/>
        <v>37853.55</v>
      </c>
      <c r="H38" s="10">
        <f t="shared" si="5"/>
        <v>-388</v>
      </c>
      <c r="I38" s="42" t="s">
        <v>144</v>
      </c>
      <c r="J38" s="43" t="s">
        <v>145</v>
      </c>
      <c r="K38" s="42">
        <v>-388</v>
      </c>
      <c r="L38" s="42" t="s">
        <v>146</v>
      </c>
      <c r="M38" s="43" t="s">
        <v>54</v>
      </c>
      <c r="N38" s="43"/>
      <c r="O38" s="44" t="s">
        <v>114</v>
      </c>
      <c r="P38" s="44" t="s">
        <v>115</v>
      </c>
    </row>
    <row r="39" spans="1:16" ht="12.75" customHeight="1" thickBot="1" x14ac:dyDescent="0.25">
      <c r="A39" s="10" t="str">
        <f t="shared" si="0"/>
        <v> HABZ 23 </v>
      </c>
      <c r="B39" s="3" t="str">
        <f t="shared" si="1"/>
        <v>I</v>
      </c>
      <c r="C39" s="10">
        <f t="shared" si="2"/>
        <v>37959.387000000002</v>
      </c>
      <c r="D39" s="12" t="str">
        <f t="shared" si="3"/>
        <v>vis</v>
      </c>
      <c r="E39" s="41">
        <f>VLOOKUP(C39,Active!C$21:E$973,3,FALSE)</f>
        <v>-2204.0154293855526</v>
      </c>
      <c r="F39" s="3" t="s">
        <v>48</v>
      </c>
      <c r="G39" s="12" t="str">
        <f t="shared" si="4"/>
        <v>37959.387</v>
      </c>
      <c r="H39" s="10">
        <f t="shared" si="5"/>
        <v>-372</v>
      </c>
      <c r="I39" s="42" t="s">
        <v>147</v>
      </c>
      <c r="J39" s="43" t="s">
        <v>148</v>
      </c>
      <c r="K39" s="42">
        <v>-372</v>
      </c>
      <c r="L39" s="42" t="s">
        <v>149</v>
      </c>
      <c r="M39" s="43" t="s">
        <v>54</v>
      </c>
      <c r="N39" s="43"/>
      <c r="O39" s="44" t="s">
        <v>119</v>
      </c>
      <c r="P39" s="44" t="s">
        <v>120</v>
      </c>
    </row>
    <row r="40" spans="1:16" ht="12.75" customHeight="1" thickBot="1" x14ac:dyDescent="0.25">
      <c r="A40" s="10" t="str">
        <f t="shared" si="0"/>
        <v> HABZ 23 </v>
      </c>
      <c r="B40" s="3" t="str">
        <f t="shared" si="1"/>
        <v>I</v>
      </c>
      <c r="C40" s="10">
        <f t="shared" si="2"/>
        <v>38256.519999999997</v>
      </c>
      <c r="D40" s="12" t="str">
        <f t="shared" si="3"/>
        <v>vis</v>
      </c>
      <c r="E40" s="41">
        <f>VLOOKUP(C40,Active!C$21:E$973,3,FALSE)</f>
        <v>-2158.9802661493231</v>
      </c>
      <c r="F40" s="3" t="s">
        <v>48</v>
      </c>
      <c r="G40" s="12" t="str">
        <f t="shared" si="4"/>
        <v>38256.520</v>
      </c>
      <c r="H40" s="10">
        <f t="shared" si="5"/>
        <v>-327</v>
      </c>
      <c r="I40" s="42" t="s">
        <v>150</v>
      </c>
      <c r="J40" s="43" t="s">
        <v>151</v>
      </c>
      <c r="K40" s="42">
        <v>-327</v>
      </c>
      <c r="L40" s="42" t="s">
        <v>152</v>
      </c>
      <c r="M40" s="43" t="s">
        <v>54</v>
      </c>
      <c r="N40" s="43"/>
      <c r="O40" s="44" t="s">
        <v>119</v>
      </c>
      <c r="P40" s="44" t="s">
        <v>120</v>
      </c>
    </row>
    <row r="41" spans="1:16" ht="12.75" customHeight="1" thickBot="1" x14ac:dyDescent="0.25">
      <c r="A41" s="10" t="str">
        <f t="shared" si="0"/>
        <v> HABZ 23 </v>
      </c>
      <c r="B41" s="3" t="str">
        <f t="shared" si="1"/>
        <v>I</v>
      </c>
      <c r="C41" s="10">
        <f t="shared" si="2"/>
        <v>38289.326999999997</v>
      </c>
      <c r="D41" s="12" t="str">
        <f t="shared" si="3"/>
        <v>vis</v>
      </c>
      <c r="E41" s="41">
        <f>VLOOKUP(C41,Active!C$21:E$973,3,FALSE)</f>
        <v>-2154.0078511018828</v>
      </c>
      <c r="F41" s="3" t="s">
        <v>48</v>
      </c>
      <c r="G41" s="12" t="str">
        <f t="shared" si="4"/>
        <v>38289.327</v>
      </c>
      <c r="H41" s="10">
        <f t="shared" si="5"/>
        <v>-322</v>
      </c>
      <c r="I41" s="42" t="s">
        <v>153</v>
      </c>
      <c r="J41" s="43" t="s">
        <v>154</v>
      </c>
      <c r="K41" s="42">
        <v>-322</v>
      </c>
      <c r="L41" s="42" t="s">
        <v>155</v>
      </c>
      <c r="M41" s="43" t="s">
        <v>54</v>
      </c>
      <c r="N41" s="43"/>
      <c r="O41" s="44" t="s">
        <v>119</v>
      </c>
      <c r="P41" s="44" t="s">
        <v>120</v>
      </c>
    </row>
    <row r="42" spans="1:16" ht="12.75" customHeight="1" thickBot="1" x14ac:dyDescent="0.25">
      <c r="A42" s="10" t="str">
        <f t="shared" si="0"/>
        <v> HABZ 23 </v>
      </c>
      <c r="B42" s="3" t="str">
        <f t="shared" si="1"/>
        <v>I</v>
      </c>
      <c r="C42" s="10">
        <f t="shared" si="2"/>
        <v>38322.264999999999</v>
      </c>
      <c r="D42" s="12" t="str">
        <f t="shared" si="3"/>
        <v>vis</v>
      </c>
      <c r="E42" s="41">
        <f>VLOOKUP(C42,Active!C$21:E$973,3,FALSE)</f>
        <v>-2149.0155809512262</v>
      </c>
      <c r="F42" s="3" t="s">
        <v>48</v>
      </c>
      <c r="G42" s="12" t="str">
        <f t="shared" si="4"/>
        <v>38322.265</v>
      </c>
      <c r="H42" s="10">
        <f t="shared" si="5"/>
        <v>-317</v>
      </c>
      <c r="I42" s="42" t="s">
        <v>156</v>
      </c>
      <c r="J42" s="43" t="s">
        <v>157</v>
      </c>
      <c r="K42" s="42">
        <v>-317</v>
      </c>
      <c r="L42" s="42" t="s">
        <v>149</v>
      </c>
      <c r="M42" s="43" t="s">
        <v>54</v>
      </c>
      <c r="N42" s="43"/>
      <c r="O42" s="44" t="s">
        <v>119</v>
      </c>
      <c r="P42" s="44" t="s">
        <v>120</v>
      </c>
    </row>
    <row r="43" spans="1:16" ht="12.75" customHeight="1" thickBot="1" x14ac:dyDescent="0.25">
      <c r="A43" s="10" t="str">
        <f t="shared" si="0"/>
        <v> PZ 22.222 </v>
      </c>
      <c r="B43" s="3" t="str">
        <f t="shared" si="1"/>
        <v>I</v>
      </c>
      <c r="C43" s="10">
        <f t="shared" si="2"/>
        <v>38731.29</v>
      </c>
      <c r="D43" s="12" t="str">
        <f t="shared" si="3"/>
        <v>vis</v>
      </c>
      <c r="E43" s="41">
        <f>VLOOKUP(C43,Active!C$21:E$973,3,FALSE)</f>
        <v>-2087.0214313862193</v>
      </c>
      <c r="F43" s="3" t="s">
        <v>48</v>
      </c>
      <c r="G43" s="12" t="str">
        <f t="shared" si="4"/>
        <v>38731.29</v>
      </c>
      <c r="H43" s="10">
        <f t="shared" si="5"/>
        <v>-255</v>
      </c>
      <c r="I43" s="42" t="s">
        <v>158</v>
      </c>
      <c r="J43" s="43" t="s">
        <v>159</v>
      </c>
      <c r="K43" s="42">
        <v>-255</v>
      </c>
      <c r="L43" s="42" t="s">
        <v>160</v>
      </c>
      <c r="M43" s="43" t="s">
        <v>54</v>
      </c>
      <c r="N43" s="43"/>
      <c r="O43" s="44" t="s">
        <v>55</v>
      </c>
      <c r="P43" s="44" t="s">
        <v>56</v>
      </c>
    </row>
    <row r="44" spans="1:16" ht="12.75" customHeight="1" thickBot="1" x14ac:dyDescent="0.25">
      <c r="A44" s="10" t="str">
        <f t="shared" si="0"/>
        <v> AA 24.73 </v>
      </c>
      <c r="B44" s="3" t="str">
        <f t="shared" si="1"/>
        <v>I</v>
      </c>
      <c r="C44" s="10">
        <f t="shared" si="2"/>
        <v>40413.796000000002</v>
      </c>
      <c r="D44" s="12" t="str">
        <f t="shared" si="3"/>
        <v>vis</v>
      </c>
      <c r="E44" s="41">
        <f>VLOOKUP(C44,Active!C$21:E$973,3,FALSE)</f>
        <v>-1832.0112764861012</v>
      </c>
      <c r="F44" s="3" t="s">
        <v>48</v>
      </c>
      <c r="G44" s="12" t="str">
        <f t="shared" si="4"/>
        <v>40413.796</v>
      </c>
      <c r="H44" s="10">
        <f t="shared" si="5"/>
        <v>0</v>
      </c>
      <c r="I44" s="42" t="s">
        <v>161</v>
      </c>
      <c r="J44" s="43" t="s">
        <v>162</v>
      </c>
      <c r="K44" s="42">
        <v>0</v>
      </c>
      <c r="L44" s="42" t="s">
        <v>163</v>
      </c>
      <c r="M44" s="43" t="s">
        <v>101</v>
      </c>
      <c r="N44" s="43" t="s">
        <v>102</v>
      </c>
      <c r="O44" s="44" t="s">
        <v>164</v>
      </c>
      <c r="P44" s="44" t="s">
        <v>165</v>
      </c>
    </row>
    <row r="45" spans="1:16" ht="12.75" customHeight="1" thickBot="1" x14ac:dyDescent="0.25">
      <c r="A45" s="10" t="str">
        <f t="shared" si="0"/>
        <v> PZ 22.222 </v>
      </c>
      <c r="B45" s="3" t="str">
        <f t="shared" si="1"/>
        <v>I</v>
      </c>
      <c r="C45" s="10">
        <f t="shared" si="2"/>
        <v>43026.53</v>
      </c>
      <c r="D45" s="12" t="str">
        <f t="shared" si="3"/>
        <v>vis</v>
      </c>
      <c r="E45" s="41">
        <f>VLOOKUP(C45,Active!C$21:E$973,3,FALSE)</f>
        <v>-1436.0104883445999</v>
      </c>
      <c r="F45" s="3" t="s">
        <v>48</v>
      </c>
      <c r="G45" s="12" t="str">
        <f t="shared" si="4"/>
        <v>43026.53</v>
      </c>
      <c r="H45" s="10">
        <f t="shared" si="5"/>
        <v>396</v>
      </c>
      <c r="I45" s="42" t="s">
        <v>166</v>
      </c>
      <c r="J45" s="43" t="s">
        <v>167</v>
      </c>
      <c r="K45" s="42">
        <v>396</v>
      </c>
      <c r="L45" s="42" t="s">
        <v>140</v>
      </c>
      <c r="M45" s="43" t="s">
        <v>54</v>
      </c>
      <c r="N45" s="43"/>
      <c r="O45" s="44" t="s">
        <v>55</v>
      </c>
      <c r="P45" s="44" t="s">
        <v>56</v>
      </c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</sheetData>
  <phoneticPr fontId="8" type="noConversion"/>
  <hyperlinks>
    <hyperlink ref="P11" r:id="rId1" display="http://www.bav-astro.de/sfs/BAVM_link.php?BAVMnr=18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2024-01-31T05:00:21Z</dcterms:modified>
</cp:coreProperties>
</file>